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3640" windowHeight="12075"/>
  </bookViews>
  <sheets>
    <sheet name="ل" sheetId="1" r:id="rId1"/>
  </sheets>
  <definedNames>
    <definedName name="_xlnm._FilterDatabase" localSheetId="0" hidden="1">ل!$A$1:$I$2328</definedName>
  </definedNames>
  <calcPr calcId="144525"/>
</workbook>
</file>

<file path=xl/calcChain.xml><?xml version="1.0" encoding="utf-8"?>
<calcChain xmlns="http://schemas.openxmlformats.org/spreadsheetml/2006/main">
  <c r="F1987" i="1" l="1"/>
  <c r="F2046" i="1"/>
  <c r="F1391" i="1"/>
  <c r="B665" i="1"/>
  <c r="B1314" i="1"/>
  <c r="B1494" i="1"/>
  <c r="B340" i="1"/>
  <c r="B1259" i="1"/>
  <c r="B1550" i="1"/>
  <c r="B766" i="1"/>
  <c r="B305" i="1"/>
  <c r="B211" i="1"/>
  <c r="B2267" i="1"/>
  <c r="B1362" i="1"/>
  <c r="B1593" i="1"/>
  <c r="B2259" i="1"/>
  <c r="B280" i="1"/>
  <c r="B516" i="1"/>
  <c r="B1074" i="1"/>
  <c r="B337" i="1"/>
  <c r="B410" i="1"/>
  <c r="B697" i="1"/>
  <c r="B233" i="1"/>
  <c r="B533" i="1"/>
  <c r="B2205" i="1"/>
  <c r="B2226" i="1"/>
  <c r="B1040" i="1"/>
  <c r="B903" i="1"/>
  <c r="B716" i="1"/>
  <c r="B483" i="1"/>
  <c r="B1284" i="1"/>
  <c r="B2068" i="1"/>
  <c r="B1157" i="1"/>
  <c r="B2271" i="1"/>
  <c r="B2136" i="1"/>
  <c r="B931" i="1"/>
  <c r="B977" i="1"/>
  <c r="B2268" i="1"/>
  <c r="B2283" i="1"/>
  <c r="B2227" i="1"/>
  <c r="B554" i="1"/>
  <c r="B2272" i="1"/>
  <c r="B2077" i="1"/>
  <c r="B2316" i="1"/>
  <c r="B1205" i="1"/>
  <c r="B2328" i="1"/>
  <c r="B911" i="1"/>
  <c r="B981" i="1"/>
  <c r="B1954" i="1"/>
  <c r="B2274" i="1"/>
  <c r="B2020" i="1"/>
  <c r="B1276" i="1"/>
  <c r="B598" i="1"/>
  <c r="B1648" i="1"/>
  <c r="B1671" i="1"/>
  <c r="B1960" i="1"/>
  <c r="B917" i="1"/>
  <c r="B2284" i="1"/>
  <c r="B1955" i="1"/>
  <c r="B1963" i="1"/>
  <c r="B1644" i="1"/>
  <c r="B2312" i="1"/>
  <c r="B1293" i="1"/>
  <c r="B1169" i="1"/>
  <c r="B2245" i="1"/>
  <c r="B2326" i="1"/>
  <c r="B1598" i="1"/>
  <c r="B1625" i="1"/>
  <c r="B346" i="1"/>
  <c r="B1078" i="1"/>
  <c r="B893" i="1"/>
  <c r="B1466" i="1"/>
  <c r="B466" i="1"/>
  <c r="B376" i="1"/>
  <c r="B725" i="1"/>
  <c r="B1697" i="1"/>
  <c r="B381" i="1"/>
  <c r="B400" i="1"/>
  <c r="B2297" i="1"/>
  <c r="B2279" i="1"/>
  <c r="B1308" i="1"/>
  <c r="B1823" i="1"/>
  <c r="B2065" i="1"/>
  <c r="B1675" i="1"/>
  <c r="B2235" i="1"/>
  <c r="B831" i="1"/>
  <c r="B1115" i="1"/>
  <c r="B382" i="1"/>
  <c r="B794" i="1"/>
  <c r="B1627" i="1"/>
  <c r="B1256" i="1"/>
  <c r="B1964" i="1"/>
  <c r="B2042" i="1"/>
  <c r="B1487" i="1"/>
  <c r="B1383" i="1"/>
  <c r="B813" i="1"/>
  <c r="B594" i="1"/>
  <c r="B1453" i="1"/>
  <c r="B1015" i="1"/>
  <c r="B2130" i="1"/>
  <c r="B2178" i="1"/>
  <c r="B2269" i="1"/>
  <c r="B1889" i="1"/>
  <c r="B1257" i="1"/>
  <c r="B954" i="1"/>
  <c r="B1832" i="1"/>
  <c r="B681" i="1"/>
  <c r="B1630" i="1"/>
  <c r="B2299" i="1"/>
  <c r="B699" i="1"/>
  <c r="B2031" i="1"/>
  <c r="B2184" i="1"/>
  <c r="B1677" i="1"/>
  <c r="B1854" i="1"/>
  <c r="B517" i="1"/>
  <c r="B2028" i="1"/>
  <c r="B1897" i="1"/>
  <c r="B1884" i="1"/>
  <c r="B1691" i="1"/>
  <c r="B2172" i="1"/>
  <c r="B2313" i="1"/>
  <c r="B1757" i="1"/>
  <c r="B1961" i="1"/>
  <c r="B2210" i="1"/>
  <c r="B1812" i="1"/>
  <c r="B1526" i="1"/>
  <c r="B136" i="1"/>
  <c r="B2087" i="1"/>
  <c r="B2239" i="1"/>
  <c r="B1407" i="1"/>
  <c r="B2323" i="1"/>
  <c r="B2206" i="1"/>
  <c r="B1997" i="1"/>
  <c r="B2201" i="1"/>
  <c r="B1876" i="1"/>
  <c r="B1887" i="1"/>
  <c r="B1435" i="1"/>
  <c r="B1915" i="1"/>
  <c r="B1090" i="1"/>
  <c r="B1324" i="1"/>
  <c r="B1438" i="1"/>
  <c r="B2126" i="1"/>
  <c r="B795" i="1"/>
  <c r="B1728" i="1"/>
  <c r="B2288" i="1"/>
  <c r="B1945" i="1"/>
  <c r="B1980" i="1"/>
  <c r="B2324" i="1"/>
  <c r="B2318" i="1"/>
  <c r="B1729" i="1"/>
  <c r="B2275" i="1"/>
  <c r="B1776" i="1"/>
  <c r="B2033" i="1"/>
  <c r="B1576" i="1"/>
  <c r="B1769" i="1"/>
  <c r="B969" i="1"/>
  <c r="B159" i="1"/>
  <c r="B1177" i="1"/>
  <c r="B1642" i="1"/>
  <c r="B219" i="1"/>
  <c r="B456" i="1"/>
  <c r="B1681" i="1"/>
  <c r="B22" i="1"/>
  <c r="B515" i="1"/>
  <c r="B6" i="1"/>
  <c r="B480" i="1"/>
  <c r="B2027" i="1"/>
  <c r="B1783" i="1"/>
  <c r="B783" i="1"/>
  <c r="B1947" i="1"/>
  <c r="B1585" i="1"/>
  <c r="B1586" i="1"/>
  <c r="B1532" i="1"/>
  <c r="B1356" i="1"/>
  <c r="B1045" i="1"/>
  <c r="B1058" i="1"/>
  <c r="B1044" i="1"/>
  <c r="B1247" i="1"/>
  <c r="B2144" i="1"/>
  <c r="B1736" i="1"/>
  <c r="B1201" i="1"/>
  <c r="B1869" i="1"/>
  <c r="B2289" i="1"/>
  <c r="B2111" i="1"/>
  <c r="B1503" i="1"/>
  <c r="B1849" i="1"/>
  <c r="B1547" i="1"/>
  <c r="B1367" i="1"/>
  <c r="B1364" i="1"/>
  <c r="B1306" i="1"/>
  <c r="B432" i="1"/>
  <c r="B1502" i="1"/>
  <c r="B700" i="1"/>
  <c r="B973" i="1"/>
  <c r="B2088" i="1"/>
  <c r="B1027" i="1"/>
  <c r="B718" i="1"/>
  <c r="B1087" i="1"/>
  <c r="B518" i="1"/>
  <c r="B633" i="1"/>
  <c r="B1327" i="1"/>
  <c r="B494" i="1"/>
  <c r="B1653" i="1"/>
  <c r="B209" i="1"/>
  <c r="B1842" i="1"/>
  <c r="B1301" i="1"/>
  <c r="B824" i="1"/>
  <c r="B796" i="1"/>
  <c r="B918" i="1"/>
  <c r="B837" i="1"/>
  <c r="B642" i="1"/>
  <c r="B1508" i="1"/>
  <c r="B1100" i="1"/>
  <c r="B1049" i="1"/>
  <c r="B396" i="1"/>
  <c r="B519" i="1"/>
  <c r="B520" i="1"/>
  <c r="B321" i="1"/>
  <c r="B855" i="1"/>
  <c r="B281" i="1"/>
  <c r="B282" i="1"/>
  <c r="B823" i="1"/>
  <c r="B1743" i="1"/>
  <c r="B1037" i="1"/>
  <c r="B1285" i="1"/>
  <c r="B1615" i="1"/>
  <c r="B1026" i="1"/>
  <c r="B366" i="1"/>
  <c r="B812" i="1"/>
  <c r="B927" i="1"/>
  <c r="B726" i="1"/>
  <c r="B654" i="1"/>
  <c r="B904" i="1"/>
  <c r="B234" i="1"/>
  <c r="B963" i="1"/>
  <c r="B1263" i="1"/>
  <c r="B1192" i="1"/>
  <c r="B909" i="1"/>
  <c r="B958" i="1"/>
  <c r="B331" i="1"/>
  <c r="B264" i="1"/>
  <c r="B171" i="1"/>
  <c r="B555" i="1"/>
  <c r="B426" i="1"/>
  <c r="B696" i="1"/>
  <c r="B116" i="1"/>
  <c r="B1092" i="1"/>
  <c r="B1025" i="1"/>
  <c r="B1896" i="1"/>
  <c r="B261" i="1"/>
  <c r="B394" i="1"/>
  <c r="B1796" i="1"/>
  <c r="B771" i="1"/>
  <c r="B1137" i="1"/>
  <c r="B1471" i="1"/>
  <c r="B1146" i="1"/>
  <c r="B425" i="1"/>
  <c r="B271" i="1"/>
  <c r="B1446" i="1"/>
  <c r="B1413" i="1"/>
  <c r="B220" i="1"/>
  <c r="B1166" i="1"/>
  <c r="B1724" i="1"/>
  <c r="B397" i="1"/>
  <c r="B348" i="1"/>
  <c r="B332" i="1"/>
  <c r="B1591" i="1"/>
  <c r="B1618" i="1"/>
  <c r="B449" i="1"/>
  <c r="B418" i="1"/>
  <c r="B296" i="1"/>
  <c r="B860" i="1"/>
  <c r="B1414" i="1"/>
  <c r="B1009" i="1"/>
  <c r="B932" i="1"/>
  <c r="B347" i="1"/>
  <c r="B127" i="1"/>
  <c r="B401" i="1"/>
  <c r="B295" i="1"/>
  <c r="B147" i="1"/>
  <c r="B235" i="1"/>
  <c r="B1075" i="1"/>
  <c r="B317" i="1"/>
  <c r="B15" i="1"/>
  <c r="B1603" i="1"/>
  <c r="B1303" i="1"/>
  <c r="B388" i="1"/>
  <c r="B938" i="1"/>
  <c r="B1083" i="1"/>
  <c r="B1404" i="1"/>
  <c r="B892" i="1"/>
  <c r="B1188" i="1"/>
  <c r="B961" i="1"/>
  <c r="B1311" i="1"/>
  <c r="B951" i="1"/>
  <c r="B1211" i="1"/>
  <c r="B944" i="1"/>
  <c r="B364" i="1"/>
  <c r="B1189" i="1"/>
  <c r="B433" i="1"/>
  <c r="B1094" i="1"/>
  <c r="B864" i="1"/>
  <c r="B1529" i="1"/>
  <c r="B1720" i="1"/>
  <c r="B475" i="1"/>
  <c r="B738" i="1"/>
  <c r="B891" i="1"/>
  <c r="B607" i="1"/>
  <c r="B514" i="1"/>
  <c r="B972" i="1"/>
  <c r="B153" i="1"/>
  <c r="B243" i="1"/>
  <c r="B244" i="1"/>
  <c r="B862" i="1"/>
  <c r="B1091" i="1"/>
  <c r="B698" i="1"/>
  <c r="B682" i="1"/>
  <c r="B402" i="1"/>
  <c r="B578" i="1"/>
  <c r="B370" i="1"/>
  <c r="B599" i="1"/>
  <c r="B1483" i="1"/>
  <c r="B1111" i="1"/>
  <c r="B215" i="1"/>
  <c r="B713" i="1"/>
  <c r="B804" i="1"/>
  <c r="B792" i="1"/>
  <c r="B874" i="1"/>
  <c r="B659" i="1"/>
  <c r="B919" i="1"/>
  <c r="B1139" i="1"/>
  <c r="B1165" i="1"/>
  <c r="B881" i="1"/>
  <c r="B727" i="1"/>
  <c r="B1210" i="1"/>
  <c r="B1180" i="1"/>
  <c r="B548" i="1"/>
  <c r="B501" i="1"/>
  <c r="B985" i="1"/>
  <c r="B2322" i="1"/>
  <c r="B1515" i="1"/>
  <c r="B2224" i="1"/>
  <c r="B107" i="1"/>
  <c r="B838" i="1"/>
  <c r="B422" i="1"/>
  <c r="B2290" i="1"/>
  <c r="B2001" i="1"/>
  <c r="B1674" i="1"/>
  <c r="B1969" i="1"/>
  <c r="B2089" i="1"/>
  <c r="B1206" i="1"/>
  <c r="B1787" i="1"/>
  <c r="B920" i="1"/>
  <c r="B976" i="1"/>
  <c r="B1678" i="1"/>
  <c r="B521" i="1"/>
  <c r="B78" i="1"/>
  <c r="B853" i="1"/>
  <c r="B391" i="1"/>
  <c r="B1142" i="1"/>
  <c r="B728" i="1"/>
  <c r="B996" i="1"/>
  <c r="B658" i="1"/>
  <c r="B921" i="1"/>
  <c r="B643" i="1"/>
  <c r="B683" i="1"/>
  <c r="B538" i="1"/>
  <c r="B556" i="1"/>
  <c r="B2167" i="1"/>
  <c r="B1207" i="1"/>
  <c r="B1382" i="1"/>
  <c r="B1202" i="1"/>
  <c r="B1203" i="1"/>
  <c r="B1998" i="1"/>
  <c r="B1820" i="1"/>
  <c r="B2260" i="1"/>
  <c r="B2195" i="1"/>
  <c r="B1638" i="1"/>
  <c r="B959" i="1"/>
  <c r="B2093" i="1"/>
  <c r="B1136" i="1"/>
  <c r="B1989" i="1"/>
  <c r="B2250" i="1"/>
  <c r="B1982" i="1"/>
  <c r="B1990" i="1"/>
  <c r="B1244" i="1"/>
  <c r="B2085" i="1"/>
  <c r="B2236" i="1"/>
  <c r="B1403" i="1"/>
  <c r="B722" i="1"/>
  <c r="B1778" i="1"/>
  <c r="B169" i="1"/>
  <c r="B755" i="1"/>
  <c r="B993" i="1"/>
  <c r="B29" i="1"/>
  <c r="B997" i="1"/>
  <c r="B1016" i="1"/>
  <c r="B797" i="1"/>
  <c r="B865" i="1"/>
  <c r="B2215" i="1"/>
  <c r="B2140" i="1"/>
  <c r="B2160" i="1"/>
  <c r="B2161" i="1"/>
  <c r="B1473" i="1"/>
  <c r="B1167" i="1"/>
  <c r="B1248" i="1"/>
  <c r="B1249" i="1"/>
  <c r="B1765" i="1"/>
  <c r="B1692" i="1"/>
  <c r="B2009" i="1"/>
  <c r="B2124" i="1"/>
  <c r="B2097" i="1"/>
  <c r="B2123" i="1"/>
  <c r="B2305" i="1"/>
  <c r="B2208" i="1"/>
  <c r="B2255" i="1"/>
  <c r="B2120" i="1"/>
  <c r="B2082" i="1"/>
  <c r="B1766" i="1"/>
  <c r="B1699" i="1"/>
  <c r="B1717" i="1"/>
  <c r="B1926" i="1"/>
  <c r="B2091" i="1"/>
  <c r="B2176" i="1"/>
  <c r="B2231" i="1"/>
  <c r="B2216" i="1"/>
  <c r="B502" i="1"/>
  <c r="B751" i="1"/>
  <c r="B13" i="1"/>
  <c r="B18" i="1"/>
  <c r="B19" i="1"/>
  <c r="B411" i="1"/>
  <c r="B361" i="1"/>
  <c r="B473" i="1"/>
  <c r="B357" i="1"/>
  <c r="B151" i="1"/>
  <c r="B393" i="1"/>
  <c r="B916" i="1"/>
  <c r="B120" i="1"/>
  <c r="B935" i="1"/>
  <c r="B1132" i="1"/>
  <c r="B380" i="1"/>
  <c r="B390" i="1"/>
  <c r="B485" i="1"/>
  <c r="B534" i="1"/>
  <c r="B1099" i="1"/>
  <c r="B358" i="1"/>
  <c r="B660" i="1"/>
  <c r="B278" i="1"/>
  <c r="B571" i="1"/>
  <c r="B668" i="1"/>
  <c r="B1059" i="1"/>
  <c r="B1088" i="1"/>
  <c r="B1271" i="1"/>
  <c r="B711" i="1"/>
  <c r="B283" i="1"/>
  <c r="B155" i="1"/>
  <c r="B446" i="1"/>
  <c r="B1415" i="1"/>
  <c r="B1504" i="1"/>
  <c r="B1128" i="1"/>
  <c r="B839" i="1"/>
  <c r="B1238" i="1"/>
  <c r="B1731" i="1"/>
  <c r="B1156" i="1"/>
  <c r="B1260" i="1"/>
  <c r="B1552" i="1"/>
  <c r="B2101" i="1"/>
  <c r="B221" i="1"/>
  <c r="B434" i="1"/>
  <c r="B448" i="1"/>
  <c r="B350" i="1"/>
  <c r="B948" i="1"/>
  <c r="B1501" i="1"/>
  <c r="B1916" i="1"/>
  <c r="B772" i="1"/>
  <c r="B1191" i="1"/>
  <c r="B1393" i="1"/>
  <c r="B657" i="1"/>
  <c r="B863" i="1"/>
  <c r="B1168" i="1"/>
  <c r="B491" i="1"/>
  <c r="B1363" i="1"/>
  <c r="B964" i="1"/>
  <c r="B1486" i="1"/>
  <c r="B1578" i="1"/>
  <c r="B1198" i="1"/>
  <c r="B1666" i="1"/>
  <c r="B729" i="1"/>
  <c r="B799" i="1"/>
  <c r="B2199" i="1"/>
  <c r="B2074" i="1"/>
  <c r="B2048" i="1"/>
  <c r="B1868" i="1"/>
  <c r="B1754" i="1"/>
  <c r="B1495" i="1"/>
  <c r="B2029" i="1"/>
  <c r="B2301" i="1"/>
  <c r="B978" i="1"/>
  <c r="B1657" i="1"/>
  <c r="B1602" i="1"/>
  <c r="B1451" i="1"/>
  <c r="B1242" i="1"/>
  <c r="B1055" i="1"/>
  <c r="B1673" i="1"/>
  <c r="B1647" i="1"/>
  <c r="B1759" i="1"/>
  <c r="B1703" i="1"/>
  <c r="B2169" i="1"/>
  <c r="B2240" i="1"/>
  <c r="B2243" i="1"/>
  <c r="B2282" i="1"/>
  <c r="B1976" i="1"/>
  <c r="B1996" i="1"/>
  <c r="B1937" i="1"/>
  <c r="B2043" i="1"/>
  <c r="B1739" i="1"/>
  <c r="B1829" i="1"/>
  <c r="B2052" i="1"/>
  <c r="B1492" i="1"/>
  <c r="B2197" i="1"/>
  <c r="B2302" i="1"/>
  <c r="B2053" i="1"/>
  <c r="B2251" i="1"/>
  <c r="B2238" i="1"/>
  <c r="B1943" i="1"/>
  <c r="B2179" i="1"/>
  <c r="B2146" i="1"/>
  <c r="B2030" i="1"/>
  <c r="B1730" i="1"/>
  <c r="B1243" i="1"/>
  <c r="B1479" i="1"/>
  <c r="B1951" i="1"/>
  <c r="B2152" i="1"/>
  <c r="B2173" i="1"/>
  <c r="B1999" i="1"/>
  <c r="B2103" i="1"/>
  <c r="B2187" i="1"/>
  <c r="B2170" i="1"/>
  <c r="B1779" i="1"/>
  <c r="B2196" i="1"/>
  <c r="B2247" i="1"/>
  <c r="B2253" i="1"/>
  <c r="B982" i="1"/>
  <c r="B835" i="1"/>
  <c r="B557" i="1"/>
  <c r="B300" i="1"/>
  <c r="B798" i="1"/>
  <c r="B1794" i="1"/>
  <c r="B1474" i="1"/>
  <c r="B684" i="1"/>
  <c r="B1345" i="1"/>
  <c r="B1397" i="1"/>
  <c r="B1485" i="1"/>
  <c r="B1229" i="1"/>
  <c r="B1628" i="1"/>
  <c r="B465" i="1"/>
  <c r="B460" i="1"/>
  <c r="B482" i="1"/>
  <c r="B2062" i="1"/>
  <c r="B2108" i="1"/>
  <c r="B186" i="1"/>
  <c r="B310" i="1"/>
  <c r="B2095" i="1"/>
  <c r="B1917" i="1"/>
  <c r="B2014" i="1"/>
  <c r="B955" i="1"/>
  <c r="B1477" i="1"/>
  <c r="B1231" i="1"/>
  <c r="B1374" i="1"/>
  <c r="B1912" i="1"/>
  <c r="B1160" i="1"/>
  <c r="B1232" i="1"/>
  <c r="B1478" i="1"/>
  <c r="B1427" i="1"/>
  <c r="B1290" i="1"/>
  <c r="B1408" i="1"/>
  <c r="B322" i="1"/>
  <c r="B476" i="1"/>
  <c r="B730" i="1"/>
  <c r="B1079" i="1"/>
  <c r="B848" i="1"/>
  <c r="B1700" i="1"/>
  <c r="B1116" i="1"/>
  <c r="B1147" i="1"/>
  <c r="B2202" i="1"/>
  <c r="B627" i="1"/>
  <c r="B1193" i="1"/>
  <c r="B1161" i="1"/>
  <c r="B1649" i="1"/>
  <c r="B998" i="1"/>
  <c r="B1886" i="1"/>
  <c r="B1942" i="1"/>
  <c r="B1967" i="1"/>
  <c r="B1898" i="1"/>
  <c r="B486" i="1"/>
  <c r="B1934" i="1"/>
  <c r="B1968" i="1"/>
  <c r="B2319" i="1"/>
  <c r="B827" i="1"/>
  <c r="B1481" i="1"/>
  <c r="B1272" i="1"/>
  <c r="B1430" i="1"/>
  <c r="B413" i="1"/>
  <c r="B1925" i="1"/>
  <c r="B1117" i="1"/>
  <c r="B1017" i="1"/>
  <c r="B806" i="1"/>
  <c r="B2038" i="1"/>
  <c r="B1903" i="1"/>
  <c r="B1619" i="1"/>
  <c r="B558" i="1"/>
  <c r="B1437" i="1"/>
  <c r="B709" i="1"/>
  <c r="B1607" i="1"/>
  <c r="B1468" i="1"/>
  <c r="B1587" i="1"/>
  <c r="B1519" i="1"/>
  <c r="B1439" i="1"/>
  <c r="B1599" i="1"/>
  <c r="B1646" i="1"/>
  <c r="B405" i="1"/>
  <c r="B240" i="1"/>
  <c r="B1361" i="1"/>
  <c r="B1620" i="1"/>
  <c r="B1553" i="1"/>
  <c r="B807" i="1"/>
  <c r="B1804" i="1"/>
  <c r="B1348" i="1"/>
  <c r="B1007" i="1"/>
  <c r="B1355" i="1"/>
  <c r="B1387" i="1"/>
  <c r="B1781" i="1"/>
  <c r="B1178" i="1"/>
  <c r="B1265" i="1"/>
  <c r="B1322" i="1"/>
  <c r="B1770" i="1"/>
  <c r="B885" i="1"/>
  <c r="B720" i="1"/>
  <c r="B736" i="1"/>
  <c r="B953" i="1"/>
  <c r="B1216" i="1"/>
  <c r="B983" i="1"/>
  <c r="B1850" i="1"/>
  <c r="B477" i="1"/>
  <c r="B773" i="1"/>
  <c r="B566" i="1"/>
  <c r="B567" i="1"/>
  <c r="B568" i="1"/>
  <c r="B678" i="1"/>
  <c r="B1334" i="1"/>
  <c r="B1429" i="1"/>
  <c r="B1181" i="1"/>
  <c r="B547" i="1"/>
  <c r="B375" i="1"/>
  <c r="B764" i="1"/>
  <c r="B1948" i="1"/>
  <c r="B1949" i="1"/>
  <c r="B2055" i="1"/>
  <c r="B1981" i="1"/>
  <c r="B1572" i="1"/>
  <c r="B1933" i="1"/>
  <c r="B670" i="1"/>
  <c r="B423" i="1"/>
  <c r="B174" i="1"/>
  <c r="B825" i="1"/>
  <c r="B420" i="1"/>
  <c r="B1861" i="1"/>
  <c r="B315" i="1"/>
  <c r="B245" i="1"/>
  <c r="B2034" i="1"/>
  <c r="B1685" i="1"/>
  <c r="B1148" i="1"/>
  <c r="B378" i="1"/>
  <c r="B1952" i="1"/>
  <c r="B1385" i="1"/>
  <c r="B1802" i="1"/>
  <c r="B717" i="1"/>
  <c r="B2127" i="1"/>
  <c r="B2041" i="1"/>
  <c r="B2021" i="1"/>
  <c r="B879" i="1"/>
  <c r="B933" i="1"/>
  <c r="B1568" i="1"/>
  <c r="B1885" i="1"/>
  <c r="B1255" i="1"/>
  <c r="B1973" i="1"/>
  <c r="B1888" i="1"/>
  <c r="B1070" i="1"/>
  <c r="B673" i="1"/>
  <c r="B1509" i="1"/>
  <c r="B877" i="1"/>
  <c r="B1219" i="1"/>
  <c r="B130" i="1"/>
  <c r="B76" i="1"/>
  <c r="B301" i="1"/>
  <c r="B471" i="1"/>
  <c r="B58" i="1"/>
  <c r="B101" i="1"/>
  <c r="B20" i="1"/>
  <c r="B392" i="1"/>
  <c r="B182" i="1"/>
  <c r="B27" i="1"/>
  <c r="B28" i="1"/>
  <c r="B284" i="1"/>
  <c r="B21" i="1"/>
  <c r="B461" i="1"/>
  <c r="B34" i="1"/>
  <c r="B47" i="1"/>
  <c r="B35" i="1"/>
  <c r="B50" i="1"/>
  <c r="B368" i="1"/>
  <c r="B51" i="1"/>
  <c r="B179" i="1"/>
  <c r="B73" i="1"/>
  <c r="B237" i="1"/>
  <c r="B83" i="1"/>
  <c r="B258" i="1"/>
  <c r="B53" i="1"/>
  <c r="B266" i="1"/>
  <c r="B65" i="1"/>
  <c r="B98" i="1"/>
  <c r="B72" i="1"/>
  <c r="B100" i="1"/>
  <c r="B86" i="1"/>
  <c r="B195" i="1"/>
  <c r="B41" i="1"/>
  <c r="B430" i="1"/>
  <c r="B84" i="1"/>
  <c r="B132" i="1"/>
  <c r="B285" i="1"/>
  <c r="B45" i="1"/>
  <c r="B105" i="1"/>
  <c r="B330" i="1"/>
  <c r="B106" i="1"/>
  <c r="B154" i="1"/>
  <c r="B66" i="1"/>
  <c r="B444" i="1"/>
  <c r="B69" i="1"/>
  <c r="B232" i="1"/>
  <c r="B70" i="1"/>
  <c r="B238" i="1"/>
  <c r="B208" i="1"/>
  <c r="B212" i="1"/>
  <c r="B87" i="1"/>
  <c r="B595" i="1"/>
  <c r="B91" i="1"/>
  <c r="B492" i="1"/>
  <c r="B92" i="1"/>
  <c r="B458" i="1"/>
  <c r="B99" i="1"/>
  <c r="B596" i="1"/>
  <c r="B113" i="1"/>
  <c r="B459" i="1"/>
  <c r="B112" i="1"/>
  <c r="B614" i="1"/>
  <c r="B137" i="1"/>
  <c r="B621" i="1"/>
  <c r="B138" i="1"/>
  <c r="B579" i="1"/>
  <c r="B440" i="1"/>
  <c r="B585" i="1"/>
  <c r="B499" i="1"/>
  <c r="B763" i="1"/>
  <c r="B424" i="1"/>
  <c r="B769" i="1"/>
  <c r="B474" i="1"/>
  <c r="B780" i="1"/>
  <c r="B286" i="1"/>
  <c r="B805" i="1"/>
  <c r="B611" i="1"/>
  <c r="B814" i="1"/>
  <c r="B592" i="1"/>
  <c r="B624" i="1"/>
  <c r="B522" i="1"/>
  <c r="B102" i="1"/>
  <c r="B737" i="1"/>
  <c r="B134" i="1"/>
  <c r="B1080" i="1"/>
  <c r="B302" i="1"/>
  <c r="B398" i="1"/>
  <c r="B172" i="1"/>
  <c r="B135" i="1"/>
  <c r="B1373" i="1"/>
  <c r="B1597" i="1"/>
  <c r="B1548" i="1"/>
  <c r="B866" i="1"/>
  <c r="B651" i="1"/>
  <c r="B1409" i="1"/>
  <c r="B1113" i="1"/>
  <c r="B276" i="1"/>
  <c r="B323" i="1"/>
  <c r="B298" i="1"/>
  <c r="B1386" i="1"/>
  <c r="B1741" i="1"/>
  <c r="B1321" i="1"/>
  <c r="B1095" i="1"/>
  <c r="B441" i="1"/>
  <c r="B262" i="1"/>
  <c r="B631" i="1"/>
  <c r="B1517" i="1"/>
  <c r="B1993" i="1"/>
  <c r="B2012" i="1"/>
  <c r="B2119" i="1"/>
  <c r="B639" i="1"/>
  <c r="B1583" i="1"/>
  <c r="B1400" i="1"/>
  <c r="B1715" i="1"/>
  <c r="B1498" i="1"/>
  <c r="B1755" i="1"/>
  <c r="B1767" i="1"/>
  <c r="B338" i="1"/>
  <c r="B180" i="1"/>
  <c r="B1682" i="1"/>
  <c r="B899" i="1"/>
  <c r="B496" i="1"/>
  <c r="B478" i="1"/>
  <c r="B1795" i="1"/>
  <c r="B2084" i="1"/>
  <c r="B259" i="1"/>
  <c r="B1695" i="1"/>
  <c r="B249" i="1"/>
  <c r="B1261" i="1"/>
  <c r="B2237" i="1"/>
  <c r="B1118" i="1"/>
  <c r="B2229" i="1"/>
  <c r="B828" i="1"/>
  <c r="B1104" i="1"/>
  <c r="B523" i="1"/>
  <c r="B945" i="1"/>
  <c r="B539" i="1"/>
  <c r="B1346" i="1"/>
  <c r="B287" i="1"/>
  <c r="B250" i="1"/>
  <c r="B206" i="1"/>
  <c r="B840" i="1"/>
  <c r="B731" i="1"/>
  <c r="B661" i="1"/>
  <c r="B2193" i="1"/>
  <c r="B2026" i="1"/>
  <c r="B1688" i="1"/>
  <c r="B1702" i="1"/>
  <c r="B371" i="1"/>
  <c r="B216" i="1"/>
  <c r="B1667" i="1"/>
  <c r="B841" i="1"/>
  <c r="B2147" i="1"/>
  <c r="B1454" i="1"/>
  <c r="B2225" i="1"/>
  <c r="B2218" i="1"/>
  <c r="B1709" i="1"/>
  <c r="B1687" i="1"/>
  <c r="B1918" i="1"/>
  <c r="B1936" i="1"/>
  <c r="B1432" i="1"/>
  <c r="B1140" i="1"/>
  <c r="B1928" i="1"/>
  <c r="B2182" i="1"/>
  <c r="B1768" i="1"/>
  <c r="B1448" i="1"/>
  <c r="B2258" i="1"/>
  <c r="B1895" i="1"/>
  <c r="B1930" i="1"/>
  <c r="B2131" i="1"/>
  <c r="B2230" i="1"/>
  <c r="B2254" i="1"/>
  <c r="B1726" i="1"/>
  <c r="B1801" i="1"/>
  <c r="B1965" i="1"/>
  <c r="B2129" i="1"/>
  <c r="B2257" i="1"/>
  <c r="B1221" i="1"/>
  <c r="B1488" i="1"/>
  <c r="B1824" i="1"/>
  <c r="B1825" i="1"/>
  <c r="B1865" i="1"/>
  <c r="B1826" i="1"/>
  <c r="B1525" i="1"/>
  <c r="B1317" i="1"/>
  <c r="B1060" i="1"/>
  <c r="B1584" i="1"/>
  <c r="B1357" i="1"/>
  <c r="B1551" i="1"/>
  <c r="B1560" i="1"/>
  <c r="B1061" i="1"/>
  <c r="B1496" i="1"/>
  <c r="B1827" i="1"/>
  <c r="B1977" i="1"/>
  <c r="B965" i="1"/>
  <c r="B2035" i="1"/>
  <c r="B1531" i="1"/>
  <c r="B1443" i="1"/>
  <c r="B272" i="1"/>
  <c r="B229" i="1"/>
  <c r="B662" i="1"/>
  <c r="B56" i="1"/>
  <c r="B1855" i="1"/>
  <c r="B187" i="1"/>
  <c r="B1155" i="1"/>
  <c r="B288" i="1"/>
  <c r="B1010" i="1"/>
  <c r="B1028" i="1"/>
  <c r="B663" i="1"/>
  <c r="B454" i="1"/>
  <c r="B1838" i="1"/>
  <c r="B139" i="1"/>
  <c r="B80" i="1"/>
  <c r="B74" i="1"/>
  <c r="B541" i="1"/>
  <c r="B131" i="1"/>
  <c r="B1376" i="1"/>
  <c r="B207" i="1"/>
  <c r="B1810" i="1"/>
  <c r="B123" i="1"/>
  <c r="B468" i="1"/>
  <c r="B311" i="1"/>
  <c r="B1506" i="1"/>
  <c r="B1475" i="1"/>
  <c r="B1440" i="1"/>
  <c r="B379" i="1"/>
  <c r="B1596" i="1"/>
  <c r="B1349" i="1"/>
  <c r="B1927" i="1"/>
  <c r="B1631" i="1"/>
  <c r="B1269" i="1"/>
  <c r="B1001" i="1"/>
  <c r="B26" i="1"/>
  <c r="B122" i="1"/>
  <c r="B644" i="1"/>
  <c r="B36" i="1"/>
  <c r="B1006" i="1"/>
  <c r="B674" i="1"/>
  <c r="B1042" i="1"/>
  <c r="B1277" i="1"/>
  <c r="B1523" i="1"/>
  <c r="B1830" i="1"/>
  <c r="B1764" i="1"/>
  <c r="B1705" i="1"/>
  <c r="B1093" i="1"/>
  <c r="B936" i="1"/>
  <c r="B1513" i="1"/>
  <c r="B1589" i="1"/>
  <c r="B1629" i="1"/>
  <c r="B1588" i="1"/>
  <c r="B1959" i="1"/>
  <c r="B1974" i="1"/>
  <c r="B822" i="1"/>
  <c r="B1431" i="1"/>
  <c r="B910" i="1"/>
  <c r="B1014" i="1"/>
  <c r="B739" i="1"/>
  <c r="B618" i="1"/>
  <c r="B580" i="1"/>
  <c r="B619" i="1"/>
  <c r="B803" i="1"/>
  <c r="B1626" i="1"/>
  <c r="B1571" i="1"/>
  <c r="B1048" i="1"/>
  <c r="B1228" i="1"/>
  <c r="B991" i="1"/>
  <c r="B913" i="1"/>
  <c r="B1405" i="1"/>
  <c r="B1711" i="1"/>
  <c r="B1220" i="1"/>
  <c r="B1366" i="1"/>
  <c r="B597" i="1"/>
  <c r="B427" i="1"/>
  <c r="B1459" i="1"/>
  <c r="B1328" i="1"/>
  <c r="B1777" i="1"/>
  <c r="B1524" i="1"/>
  <c r="B752" i="1"/>
  <c r="B1302" i="1"/>
  <c r="B1281" i="1"/>
  <c r="B1416" i="1"/>
  <c r="B1780" i="1"/>
  <c r="B608" i="1"/>
  <c r="B1268" i="1"/>
  <c r="B889" i="1"/>
  <c r="B873" i="1"/>
  <c r="B1323" i="1"/>
  <c r="B609" i="1"/>
  <c r="B1279" i="1"/>
  <c r="B808" i="1"/>
  <c r="B1822" i="1"/>
  <c r="B1774" i="1"/>
  <c r="B1341" i="1"/>
  <c r="B1701" i="1"/>
  <c r="B2180" i="1"/>
  <c r="B1342" i="1"/>
  <c r="B1445" i="1"/>
  <c r="B1436" i="1"/>
  <c r="B612" i="1"/>
  <c r="B1514" i="1"/>
  <c r="B1218" i="1"/>
  <c r="B1039" i="1"/>
  <c r="B615" i="1"/>
  <c r="B616" i="1"/>
  <c r="B1254" i="1"/>
  <c r="B635" i="1"/>
  <c r="B1611" i="1"/>
  <c r="B765" i="1"/>
  <c r="B723" i="1"/>
  <c r="B1304" i="1"/>
  <c r="B941" i="1"/>
  <c r="B994" i="1"/>
  <c r="B1280" i="1"/>
  <c r="B1023" i="1"/>
  <c r="B995" i="1"/>
  <c r="B694" i="1"/>
  <c r="B761" i="1"/>
  <c r="B695" i="1"/>
  <c r="B788" i="1"/>
  <c r="B975" i="1"/>
  <c r="B1138" i="1"/>
  <c r="B268" i="1"/>
  <c r="B1289" i="1"/>
  <c r="B1368" i="1"/>
  <c r="B942" i="1"/>
  <c r="B890" i="1"/>
  <c r="B943" i="1"/>
  <c r="B2096" i="1"/>
  <c r="B2049" i="1"/>
  <c r="B569" i="1"/>
  <c r="B93" i="1"/>
  <c r="B23" i="1"/>
  <c r="B246" i="1"/>
  <c r="B265" i="1"/>
  <c r="B289" i="1"/>
  <c r="B851" i="1"/>
  <c r="B383" i="1"/>
  <c r="B1187" i="1"/>
  <c r="B2213" i="1"/>
  <c r="B1149" i="1"/>
  <c r="B435" i="1"/>
  <c r="B324" i="1"/>
  <c r="B620" i="1"/>
  <c r="B685" i="1"/>
  <c r="B140" i="1"/>
  <c r="B1890" i="1"/>
  <c r="B1946" i="1"/>
  <c r="B1401" i="1"/>
  <c r="B2080" i="1"/>
  <c r="B89" i="1"/>
  <c r="B524" i="1"/>
  <c r="B570" i="1"/>
  <c r="B1119" i="1"/>
  <c r="B573" i="1"/>
  <c r="B415" i="1"/>
  <c r="B756" i="1"/>
  <c r="B1632" i="1"/>
  <c r="B1410" i="1"/>
  <c r="B228" i="1"/>
  <c r="B188" i="1"/>
  <c r="B484" i="1"/>
  <c r="B133" i="1"/>
  <c r="B1760" i="1"/>
  <c r="B1856" i="1"/>
  <c r="B1923" i="1"/>
  <c r="B1170" i="1"/>
  <c r="B867" i="1"/>
  <c r="B559" i="1"/>
  <c r="B979" i="1"/>
  <c r="B214" i="1"/>
  <c r="B2241" i="1"/>
  <c r="B645" i="1"/>
  <c r="B915" i="1"/>
  <c r="B551" i="1"/>
  <c r="B1883" i="1"/>
  <c r="B1662" i="1"/>
  <c r="B871" i="1"/>
  <c r="B189" i="1"/>
  <c r="B1065" i="1"/>
  <c r="B94" i="1"/>
  <c r="B1986" i="1"/>
  <c r="B1507" i="1"/>
  <c r="B868" i="1"/>
  <c r="B406" i="1"/>
  <c r="B408" i="1"/>
  <c r="B453" i="1"/>
  <c r="B513" i="1"/>
  <c r="B535" i="1"/>
  <c r="B325" i="1"/>
  <c r="B544" i="1"/>
  <c r="B869" i="1"/>
  <c r="B167" i="1"/>
  <c r="B1354" i="1"/>
  <c r="B1843" i="1"/>
  <c r="B1447" i="1"/>
  <c r="B351" i="1"/>
  <c r="B60" i="1"/>
  <c r="B600" i="1"/>
  <c r="B1143" i="1"/>
  <c r="B2022" i="1"/>
  <c r="B2063" i="1"/>
  <c r="B1389" i="1"/>
  <c r="B299" i="1"/>
  <c r="B85" i="1"/>
  <c r="B326" i="1"/>
  <c r="B987" i="1"/>
  <c r="B1806" i="1"/>
  <c r="B1664" i="1"/>
  <c r="B1610" i="1"/>
  <c r="B1710" i="1"/>
  <c r="B1817" i="1"/>
  <c r="B999" i="1"/>
  <c r="B201" i="1"/>
  <c r="B1693" i="1"/>
  <c r="B1594" i="1"/>
  <c r="B854" i="1"/>
  <c r="B1101" i="1"/>
  <c r="B1351" i="1"/>
  <c r="B971" i="1"/>
  <c r="B1295" i="1"/>
  <c r="B1434" i="1"/>
  <c r="B1024" i="1"/>
  <c r="B1472" i="1"/>
  <c r="B802" i="1"/>
  <c r="B1444" i="1"/>
  <c r="B1112" i="1"/>
  <c r="B1278" i="1"/>
  <c r="B1127" i="1"/>
  <c r="B1053" i="1"/>
  <c r="B845" i="1"/>
  <c r="B779" i="1"/>
  <c r="B801" i="1"/>
  <c r="B1462" i="1"/>
  <c r="B1458" i="1"/>
  <c r="B1381" i="1"/>
  <c r="B1274" i="1"/>
  <c r="B952" i="1"/>
  <c r="B1000" i="1"/>
  <c r="B374" i="1"/>
  <c r="B1668" i="1"/>
  <c r="B1018" i="1"/>
  <c r="B1358" i="1"/>
  <c r="B1807" i="1"/>
  <c r="B637" i="1"/>
  <c r="B652" i="1"/>
  <c r="B628" i="1"/>
  <c r="B895" i="1"/>
  <c r="B79" i="1"/>
  <c r="B1522" i="1"/>
  <c r="B2069" i="1"/>
  <c r="B2010" i="1"/>
  <c r="B1608" i="1"/>
  <c r="B1377" i="1"/>
  <c r="B1339" i="1"/>
  <c r="B2190" i="1"/>
  <c r="B160" i="1"/>
  <c r="B809" i="1"/>
  <c r="B1019" i="1"/>
  <c r="B1144" i="1"/>
  <c r="B1267" i="1"/>
  <c r="B1384" i="1"/>
  <c r="B1747" i="1"/>
  <c r="B1863" i="1"/>
  <c r="B1995" i="1"/>
  <c r="B1680" i="1"/>
  <c r="B1450" i="1"/>
  <c r="B1395" i="1"/>
  <c r="B2137" i="1"/>
  <c r="B2157" i="1"/>
  <c r="B2158" i="1"/>
  <c r="B2036" i="1"/>
  <c r="B2110" i="1"/>
  <c r="B2017" i="1"/>
  <c r="B2083" i="1"/>
  <c r="B2138" i="1"/>
  <c r="B2058" i="1"/>
  <c r="B530" i="1"/>
  <c r="B1683" i="1"/>
  <c r="B1877" i="1"/>
  <c r="B1476" i="1"/>
  <c r="B1329" i="1"/>
  <c r="B2016" i="1"/>
  <c r="B421" i="1"/>
  <c r="B1499" i="1"/>
  <c r="B1530" i="1"/>
  <c r="B2143" i="1"/>
  <c r="B622" i="1"/>
  <c r="B161" i="1"/>
  <c r="B1013" i="1"/>
  <c r="B1233" i="1"/>
  <c r="B574" i="1"/>
  <c r="B1935" i="1"/>
  <c r="B818" i="1"/>
  <c r="B178" i="1"/>
  <c r="B601" i="1"/>
  <c r="B32" i="1"/>
  <c r="B108" i="1"/>
  <c r="B327" i="1"/>
  <c r="B95" i="1"/>
  <c r="B82" i="1"/>
  <c r="B61" i="1"/>
  <c r="B247" i="1"/>
  <c r="B1109" i="1"/>
  <c r="B1510" i="1"/>
  <c r="B2246" i="1"/>
  <c r="B2311" i="1"/>
  <c r="B1564" i="1"/>
  <c r="B1141" i="1"/>
  <c r="B2296" i="1"/>
  <c r="B1690" i="1"/>
  <c r="B1847" i="1"/>
  <c r="B2141" i="1"/>
  <c r="B2109" i="1"/>
  <c r="B2142" i="1"/>
  <c r="B2105" i="1"/>
  <c r="B2106" i="1"/>
  <c r="B2079" i="1"/>
  <c r="B2107" i="1"/>
  <c r="B2264" i="1"/>
  <c r="B2265" i="1"/>
  <c r="B886" i="1"/>
  <c r="B859" i="1"/>
  <c r="B141" i="1"/>
  <c r="B445" i="1"/>
  <c r="B1145" i="1"/>
  <c r="B858" i="1"/>
  <c r="B493" i="1"/>
  <c r="B1333" i="1"/>
  <c r="B691" i="1"/>
  <c r="B671" i="1"/>
  <c r="B451" i="1"/>
  <c r="B846" i="1"/>
  <c r="B908" i="1"/>
  <c r="B537" i="1"/>
  <c r="B1613" i="1"/>
  <c r="B1213" i="1"/>
  <c r="B1108" i="1"/>
  <c r="B1239" i="1"/>
  <c r="B1340" i="1"/>
  <c r="B1008" i="1"/>
  <c r="B1375" i="1"/>
  <c r="B653" i="1"/>
  <c r="B1245" i="1"/>
  <c r="B900" i="1"/>
  <c r="B2244" i="1"/>
  <c r="B1840" i="1"/>
  <c r="B1533" i="1"/>
  <c r="B1650" i="1"/>
  <c r="B1651" i="1"/>
  <c r="B1614" i="1"/>
  <c r="B1343" i="1"/>
  <c r="B1738" i="1"/>
  <c r="B1544" i="1"/>
  <c r="B2220" i="1"/>
  <c r="B1939" i="1"/>
  <c r="B1742" i="1"/>
  <c r="B1790" i="1"/>
  <c r="B2175" i="1"/>
  <c r="B1962" i="1"/>
  <c r="B545" i="1"/>
  <c r="B1071" i="1"/>
  <c r="B1208" i="1"/>
  <c r="B1418" i="1"/>
  <c r="B1554" i="1"/>
  <c r="B1309" i="1"/>
  <c r="B1330" i="1"/>
  <c r="B1250" i="1"/>
  <c r="B905" i="1"/>
  <c r="B1841" i="1"/>
  <c r="B1455" i="1"/>
  <c r="B1870" i="1"/>
  <c r="B1762" i="1"/>
  <c r="B2051" i="1"/>
  <c r="B1511" i="1"/>
  <c r="B1941" i="1"/>
  <c r="B1464" i="1"/>
  <c r="B1902" i="1"/>
  <c r="B1940" i="1"/>
  <c r="B1751" i="1"/>
  <c r="B1573" i="1"/>
  <c r="B1752" i="1"/>
  <c r="B1864" i="1"/>
  <c r="B1891" i="1"/>
  <c r="B1312" i="1"/>
  <c r="B1808" i="1"/>
  <c r="B1919" i="1"/>
  <c r="B1712" i="1"/>
  <c r="B1862" i="1"/>
  <c r="B1512" i="1"/>
  <c r="B1561" i="1"/>
  <c r="B1604" i="1"/>
  <c r="B1633" i="1"/>
  <c r="B542" i="1"/>
  <c r="B1182" i="1"/>
  <c r="B988" i="1"/>
  <c r="B1029" i="1"/>
  <c r="B2185" i="1"/>
  <c r="B1874" i="1"/>
  <c r="B1791" i="1"/>
  <c r="B1469" i="1"/>
  <c r="B1566" i="1"/>
  <c r="B1634" i="1"/>
  <c r="B774" i="1"/>
  <c r="B1590" i="1"/>
  <c r="B629" i="1"/>
  <c r="B701" i="1"/>
  <c r="B1924" i="1"/>
  <c r="B1848" i="1"/>
  <c r="B1370" i="1"/>
  <c r="B42" i="1"/>
  <c r="B1030" i="1"/>
  <c r="B757" i="1"/>
  <c r="B686" i="1"/>
  <c r="B1467" i="1"/>
  <c r="B1347" i="1"/>
  <c r="B2280" i="1"/>
  <c r="B1784" i="1"/>
  <c r="B970" i="1"/>
  <c r="B1882" i="1"/>
  <c r="B1237" i="1"/>
  <c r="B306" i="1"/>
  <c r="B966" i="1"/>
  <c r="B443" i="1"/>
  <c r="B540" i="1"/>
  <c r="B1077" i="1"/>
  <c r="B712" i="1"/>
  <c r="B675" i="1"/>
  <c r="B1744" i="1"/>
  <c r="B1643" i="1"/>
  <c r="B560" i="1"/>
  <c r="B303" i="1"/>
  <c r="B1081" i="1"/>
  <c r="B1066" i="1"/>
  <c r="B1073" i="1"/>
  <c r="B1150" i="1"/>
  <c r="B1072" i="1"/>
  <c r="B1299" i="1"/>
  <c r="B1240" i="1"/>
  <c r="B1241" i="1"/>
  <c r="B1171" i="1"/>
  <c r="B1979" i="1"/>
  <c r="B1732" i="1"/>
  <c r="B75" i="1"/>
  <c r="B1234" i="1"/>
  <c r="B352" i="1"/>
  <c r="B1417" i="1"/>
  <c r="B2007" i="1"/>
  <c r="B1725" i="1"/>
  <c r="B2060" i="1"/>
  <c r="B2044" i="1"/>
  <c r="B1911" i="1"/>
  <c r="B1813" i="1"/>
  <c r="B1286" i="1"/>
  <c r="B1423" i="1"/>
  <c r="B2174" i="1"/>
  <c r="B2121" i="1"/>
  <c r="B1600" i="1"/>
  <c r="B384" i="1"/>
  <c r="B2039" i="1"/>
  <c r="B1616" i="1"/>
  <c r="B1931" i="1"/>
  <c r="B290" i="1"/>
  <c r="B2263" i="1"/>
  <c r="B587" i="1"/>
  <c r="B1003" i="1"/>
  <c r="B1713" i="1"/>
  <c r="B2098" i="1"/>
  <c r="B2099" i="1"/>
  <c r="B2056" i="1"/>
  <c r="B2149" i="1"/>
  <c r="B1291" i="1"/>
  <c r="B1516" i="1"/>
  <c r="B1534" i="1"/>
  <c r="B1655" i="1"/>
  <c r="B588" i="1"/>
  <c r="B1929" i="1"/>
  <c r="B2070" i="1"/>
  <c r="B1151" i="1"/>
  <c r="B1226" i="1"/>
  <c r="B2154" i="1"/>
  <c r="B2128" i="1"/>
  <c r="B1331" i="1"/>
  <c r="B2047" i="1"/>
  <c r="B897" i="1"/>
  <c r="B1176" i="1"/>
  <c r="B386" i="1"/>
  <c r="B1179" i="1"/>
  <c r="B1658" i="1"/>
  <c r="B1194" i="1"/>
  <c r="B721" i="1"/>
  <c r="B222" i="1"/>
  <c r="B399" i="1"/>
  <c r="B319" i="1"/>
  <c r="B343" i="1"/>
  <c r="B162" i="1"/>
  <c r="B602" i="1"/>
  <c r="B57" i="1"/>
  <c r="B469" i="1"/>
  <c r="B1262" i="1"/>
  <c r="B436" i="1"/>
  <c r="B248" i="1"/>
  <c r="B1837" i="1"/>
  <c r="B254" i="1"/>
  <c r="B115" i="1"/>
  <c r="B949" i="1"/>
  <c r="B1235" i="1"/>
  <c r="B2159" i="1"/>
  <c r="B1920" i="1"/>
  <c r="B1456" i="1"/>
  <c r="B677" i="1"/>
  <c r="B63" i="1"/>
  <c r="B1867" i="1"/>
  <c r="B1716" i="1"/>
  <c r="B1833" i="1"/>
  <c r="B395" i="1"/>
  <c r="B2292" i="1"/>
  <c r="B1975" i="1"/>
  <c r="B62" i="1"/>
  <c r="B1096" i="1"/>
  <c r="B1350" i="1"/>
  <c r="B142" i="1"/>
  <c r="B1110" i="1"/>
  <c r="B1222" i="1"/>
  <c r="B143" i="1"/>
  <c r="B96" i="1"/>
  <c r="B190" i="1"/>
  <c r="B656" i="1"/>
  <c r="B309" i="1"/>
  <c r="B291" i="1"/>
  <c r="B227" i="1"/>
  <c r="B230" i="1"/>
  <c r="B114" i="1"/>
  <c r="B1172" i="1"/>
  <c r="B1669" i="1"/>
  <c r="B646" i="1"/>
  <c r="B525" i="1"/>
  <c r="B861" i="1"/>
  <c r="B894" i="1"/>
  <c r="B1266" i="1"/>
  <c r="B1994" i="1"/>
  <c r="B702" i="1"/>
  <c r="B260" i="1"/>
  <c r="B223" i="1"/>
  <c r="B589" i="1"/>
  <c r="B404" i="1"/>
  <c r="B647" i="1"/>
  <c r="B1270" i="1"/>
  <c r="B472" i="1"/>
  <c r="B297" i="1"/>
  <c r="B437" i="1"/>
  <c r="B236" i="1"/>
  <c r="B640" i="1"/>
  <c r="B912" i="1"/>
  <c r="B1035" i="1"/>
  <c r="B312" i="1"/>
  <c r="B1733" i="1"/>
  <c r="B1696" i="1"/>
  <c r="B1336" i="1"/>
  <c r="B1097" i="1"/>
  <c r="B790" i="1"/>
  <c r="B462" i="1"/>
  <c r="B613" i="1"/>
  <c r="B1085" i="1"/>
  <c r="B758" i="1"/>
  <c r="B1031" i="1"/>
  <c r="B1004" i="1"/>
  <c r="B1005" i="1"/>
  <c r="B163" i="1"/>
  <c r="B117" i="1"/>
  <c r="B67" i="1"/>
  <c r="B387" i="1"/>
  <c r="B2066" i="1"/>
  <c r="B16" i="1"/>
  <c r="B510" i="1"/>
  <c r="B511" i="1"/>
  <c r="B144" i="1"/>
  <c r="B1067" i="1"/>
  <c r="B1046" i="1"/>
  <c r="B1107" i="1"/>
  <c r="B906" i="1"/>
  <c r="B1251" i="1"/>
  <c r="B549" i="1"/>
  <c r="B1038" i="1"/>
  <c r="B191" i="1"/>
  <c r="B192" i="1"/>
  <c r="B353" i="1"/>
  <c r="B759" i="1"/>
  <c r="B2011" i="1"/>
  <c r="B583" i="1"/>
  <c r="B584" i="1"/>
  <c r="B1292" i="1"/>
  <c r="B1402" i="1"/>
  <c r="B1899" i="1"/>
  <c r="B463" i="1"/>
  <c r="B2112" i="1"/>
  <c r="B842" i="1"/>
  <c r="B603" i="1"/>
  <c r="B224" i="1"/>
  <c r="B225" i="1"/>
  <c r="B333" i="1"/>
  <c r="B2155" i="1"/>
  <c r="B1892" i="1"/>
  <c r="B1577" i="1"/>
  <c r="B1062" i="1"/>
  <c r="B531" i="1"/>
  <c r="B1660" i="1"/>
  <c r="B1991" i="1"/>
  <c r="B1545" i="1"/>
  <c r="B1419" i="1"/>
  <c r="B986" i="1"/>
  <c r="B1163" i="1"/>
  <c r="B1296" i="1"/>
  <c r="B1041" i="1"/>
  <c r="B1753" i="1"/>
  <c r="B1535" i="1"/>
  <c r="B1758" i="1"/>
  <c r="B1706" i="1"/>
  <c r="B810" i="1"/>
  <c r="B2214" i="1"/>
  <c r="B2067" i="1"/>
  <c r="B2100" i="1"/>
  <c r="B2294" i="1"/>
  <c r="B1846" i="1"/>
  <c r="B732" i="1"/>
  <c r="B2212" i="1"/>
  <c r="B2133" i="1"/>
  <c r="B2015" i="1"/>
  <c r="B2233" i="1"/>
  <c r="B2291" i="1"/>
  <c r="B2256" i="1"/>
  <c r="B2151" i="1"/>
  <c r="B1258" i="1"/>
  <c r="B2113" i="1"/>
  <c r="B1352" i="1"/>
  <c r="B1353" i="1"/>
  <c r="B2145" i="1"/>
  <c r="B1745" i="1"/>
  <c r="B1785" i="1"/>
  <c r="B1721" i="1"/>
  <c r="B1834" i="1"/>
  <c r="B1835" i="1"/>
  <c r="B1836" i="1"/>
  <c r="B2156" i="1"/>
  <c r="B1921" i="1"/>
  <c r="B2125" i="1"/>
  <c r="B1659" i="1"/>
  <c r="B1337" i="1"/>
  <c r="B1900" i="1"/>
  <c r="B2081" i="1"/>
  <c r="B512" i="1"/>
  <c r="B497" i="1"/>
  <c r="B641" i="1"/>
  <c r="B2181" i="1"/>
  <c r="B2040" i="1"/>
  <c r="B922" i="1"/>
  <c r="B1857" i="1"/>
  <c r="B2252" i="1"/>
  <c r="B2071" i="1"/>
  <c r="B2164" i="1"/>
  <c r="B2209" i="1"/>
  <c r="B1484" i="1"/>
  <c r="B2261" i="1"/>
  <c r="B1873" i="1"/>
  <c r="B1723" i="1"/>
  <c r="B2287" i="1"/>
  <c r="B1133" i="1"/>
  <c r="B372" i="1"/>
  <c r="B1449" i="1"/>
  <c r="B843" i="1"/>
  <c r="B741" i="1"/>
  <c r="B742" i="1"/>
  <c r="B743" i="1"/>
  <c r="B744" i="1"/>
  <c r="B745" i="1"/>
  <c r="B2171" i="1"/>
  <c r="B746" i="1"/>
  <c r="B747" i="1"/>
  <c r="B2219" i="1"/>
  <c r="B2189" i="1"/>
  <c r="B561" i="1"/>
  <c r="B145" i="1"/>
  <c r="B875" i="1"/>
  <c r="B2192" i="1"/>
  <c r="B784" i="1"/>
  <c r="B575" i="1"/>
  <c r="B2003" i="1"/>
  <c r="B1505" i="1"/>
  <c r="B12" i="1"/>
  <c r="B1565" i="1"/>
  <c r="B760" i="1"/>
  <c r="B2228" i="1"/>
  <c r="B328" i="1"/>
  <c r="B1120" i="1"/>
  <c r="B923" i="1"/>
  <c r="B901" i="1"/>
  <c r="B241" i="1"/>
  <c r="B500" i="1"/>
  <c r="B1123" i="1"/>
  <c r="B1428" i="1"/>
  <c r="B231" i="1"/>
  <c r="B1708" i="1"/>
  <c r="B68" i="1"/>
  <c r="B193" i="1"/>
  <c r="B356" i="1"/>
  <c r="B989" i="1"/>
  <c r="B990" i="1"/>
  <c r="B48" i="1"/>
  <c r="B582" i="1"/>
  <c r="B2262" i="1"/>
  <c r="B1217" i="1"/>
  <c r="B1624" i="1"/>
  <c r="B1411" i="1"/>
  <c r="B1737" i="1"/>
  <c r="B832" i="1"/>
  <c r="B1748" i="1"/>
  <c r="B2234" i="1"/>
  <c r="B924" i="1"/>
  <c r="B581" i="1"/>
  <c r="B606" i="1"/>
  <c r="B785" i="1"/>
  <c r="B872" i="1"/>
  <c r="B2023" i="1"/>
  <c r="B269" i="1"/>
  <c r="B2217" i="1"/>
  <c r="B329" i="1"/>
  <c r="B1050" i="1"/>
  <c r="B1125" i="1"/>
  <c r="B37" i="1"/>
  <c r="B341" i="1"/>
  <c r="B1460" i="1"/>
  <c r="B2054" i="1"/>
  <c r="B2198" i="1"/>
  <c r="B880" i="1"/>
  <c r="B1084" i="1"/>
  <c r="B778" i="1"/>
  <c r="B377" i="1"/>
  <c r="B1173" i="1"/>
  <c r="B590" i="1"/>
  <c r="B876" i="1"/>
  <c r="B956" i="1"/>
  <c r="B925" i="1"/>
  <c r="B1788" i="1"/>
  <c r="B1215" i="1"/>
  <c r="B204" i="1"/>
  <c r="B680" i="1"/>
  <c r="B960" i="1"/>
  <c r="B277" i="1"/>
  <c r="B836" i="1"/>
  <c r="B1378" i="1"/>
  <c r="B1283" i="1"/>
  <c r="B1689" i="1"/>
  <c r="B1670" i="1"/>
  <c r="B2306" i="1"/>
  <c r="B447" i="1"/>
  <c r="B928" i="1"/>
  <c r="B1209" i="1"/>
  <c r="B2183" i="1"/>
  <c r="B2104" i="1"/>
  <c r="B703" i="1"/>
  <c r="B2019" i="1"/>
  <c r="B1983" i="1"/>
  <c r="B577" i="1"/>
  <c r="B819" i="1"/>
  <c r="B617" i="1"/>
  <c r="B2114" i="1"/>
  <c r="B1214" i="1"/>
  <c r="B38" i="1"/>
  <c r="B1275" i="1"/>
  <c r="B2285" i="1"/>
  <c r="B1300" i="1"/>
  <c r="B1315" i="1"/>
  <c r="B930" i="1"/>
  <c r="B1294" i="1"/>
  <c r="B1344" i="1"/>
  <c r="B1412" i="1"/>
  <c r="B1463" i="1"/>
  <c r="B1569" i="1"/>
  <c r="B1570" i="1"/>
  <c r="B1422" i="1"/>
  <c r="B1694" i="1"/>
  <c r="B1518" i="1"/>
  <c r="B1605" i="1"/>
  <c r="B1559" i="1"/>
  <c r="B1749" i="1"/>
  <c r="B1581" i="1"/>
  <c r="B1639" i="1"/>
  <c r="B1558" i="1"/>
  <c r="B1654" i="1"/>
  <c r="B1621" i="1"/>
  <c r="B1698" i="1"/>
  <c r="B1500" i="1"/>
  <c r="B1809" i="1"/>
  <c r="B593" i="1"/>
  <c r="B1722" i="1"/>
  <c r="B498" i="1"/>
  <c r="B1686" i="1"/>
  <c r="B1679" i="1"/>
  <c r="B1727" i="1"/>
  <c r="B1792" i="1"/>
  <c r="B1901" i="1"/>
  <c r="B1797" i="1"/>
  <c r="B1871" i="1"/>
  <c r="B1910" i="1"/>
  <c r="B2115" i="1"/>
  <c r="B1470" i="1"/>
  <c r="B664" i="1"/>
  <c r="B704" i="1"/>
  <c r="B2314" i="1"/>
  <c r="B2072" i="1"/>
  <c r="B1047" i="1"/>
  <c r="B1956" i="1"/>
  <c r="B1845" i="1"/>
  <c r="B786" i="1"/>
  <c r="B648" i="1"/>
  <c r="B787" i="1"/>
  <c r="B929" i="1"/>
  <c r="B1332" i="1"/>
  <c r="B649" i="1"/>
  <c r="B1906" i="1"/>
  <c r="B1793" i="1"/>
  <c r="B1635" i="1"/>
  <c r="B479" i="1"/>
  <c r="B2073" i="1"/>
  <c r="B775" i="1"/>
  <c r="B2276" i="1"/>
  <c r="B2277" i="1"/>
  <c r="B2278" i="1"/>
  <c r="B2135" i="1"/>
  <c r="B292" i="1"/>
  <c r="B1287" i="1"/>
  <c r="B1398" i="1"/>
  <c r="B1032" i="1"/>
  <c r="B776" i="1"/>
  <c r="B856" i="1"/>
  <c r="B1539" i="1"/>
  <c r="B2122" i="1"/>
  <c r="B2200" i="1"/>
  <c r="B2076" i="1"/>
  <c r="B1069" i="1"/>
  <c r="B816" i="1"/>
  <c r="B1786" i="1"/>
  <c r="B2207" i="1"/>
  <c r="B2286" i="1"/>
  <c r="B2310" i="1"/>
  <c r="B1950" i="1"/>
  <c r="B2304" i="1"/>
  <c r="B197" i="1"/>
  <c r="B44" i="1"/>
  <c r="B7" i="1"/>
  <c r="B2" i="1"/>
  <c r="B3" i="1"/>
  <c r="B9" i="1"/>
  <c r="B870" i="1"/>
  <c r="B817" i="1"/>
  <c r="B124" i="1"/>
  <c r="B429" i="1"/>
  <c r="B852" i="1"/>
  <c r="B185" i="1"/>
  <c r="B754" i="1"/>
  <c r="B55" i="1"/>
  <c r="B438" i="1"/>
  <c r="B488" i="1"/>
  <c r="B253" i="1"/>
  <c r="B672" i="1"/>
  <c r="B1718" i="1"/>
  <c r="B1175" i="1"/>
  <c r="B274" i="1"/>
  <c r="B273" i="1"/>
  <c r="B8" i="1"/>
  <c r="B623" i="1"/>
  <c r="B31" i="1"/>
  <c r="B54" i="1"/>
  <c r="B81" i="1"/>
  <c r="B17" i="1"/>
  <c r="B158" i="1"/>
  <c r="B196" i="1"/>
  <c r="B719" i="1"/>
  <c r="B320" i="1"/>
  <c r="B1126" i="1"/>
  <c r="B181" i="1"/>
  <c r="B1288" i="1"/>
  <c r="B1204" i="1"/>
  <c r="B2008" i="1"/>
  <c r="B97" i="1"/>
  <c r="B279" i="1"/>
  <c r="B507" i="1"/>
  <c r="B553" i="1"/>
  <c r="B572" i="1"/>
  <c r="B626" i="1"/>
  <c r="B715" i="1"/>
  <c r="B826" i="1"/>
  <c r="B950" i="1"/>
  <c r="B1002" i="1"/>
  <c r="B1098" i="1"/>
  <c r="B52" i="1"/>
  <c r="B1162" i="1"/>
  <c r="B562" i="1"/>
  <c r="B604" i="1"/>
  <c r="B650" i="1"/>
  <c r="B980" i="1"/>
  <c r="B1152" i="1"/>
  <c r="B509" i="1"/>
  <c r="B205" i="1"/>
  <c r="B914" i="1"/>
  <c r="B753" i="1"/>
  <c r="B1756" i="1"/>
  <c r="B1528" i="1"/>
  <c r="B1457" i="1"/>
  <c r="B1580" i="1"/>
  <c r="B1595" i="1"/>
  <c r="B1971" i="1"/>
  <c r="B1129" i="1"/>
  <c r="B1196" i="1"/>
  <c r="B2092" i="1"/>
  <c r="B506" i="1"/>
  <c r="B676" i="1"/>
  <c r="B690" i="1"/>
  <c r="B878" i="1"/>
  <c r="B940" i="1"/>
  <c r="B1326" i="1"/>
  <c r="B1461" i="1"/>
  <c r="B1253" i="1"/>
  <c r="B1775" i="1"/>
  <c r="B666" i="1"/>
  <c r="B119" i="1"/>
  <c r="B199" i="1"/>
  <c r="B110" i="1"/>
  <c r="B355" i="1"/>
  <c r="B508" i="1"/>
  <c r="B692" i="1"/>
  <c r="B770" i="1"/>
  <c r="B1021" i="1"/>
  <c r="B898" i="1"/>
  <c r="B834" i="1"/>
  <c r="B314" i="1"/>
  <c r="B543" i="1"/>
  <c r="B907" i="1"/>
  <c r="B1684" i="1"/>
  <c r="B937" i="1"/>
  <c r="B850" i="1"/>
  <c r="B64" i="1"/>
  <c r="B59" i="1"/>
  <c r="B88" i="1"/>
  <c r="B103" i="1"/>
  <c r="B126" i="1"/>
  <c r="B146" i="1"/>
  <c r="B173" i="1"/>
  <c r="B183" i="1"/>
  <c r="B902" i="1"/>
  <c r="B1186" i="1"/>
  <c r="B1190" i="1"/>
  <c r="B203" i="1"/>
  <c r="B369" i="1"/>
  <c r="B1056" i="1"/>
  <c r="B1557" i="1"/>
  <c r="B46" i="1"/>
  <c r="B489" i="1"/>
  <c r="B586" i="1"/>
  <c r="B1103" i="1"/>
  <c r="B1298" i="1"/>
  <c r="B1184" i="1"/>
  <c r="B1406" i="1"/>
  <c r="B1425" i="1"/>
  <c r="B1388" i="1"/>
  <c r="B1575" i="1"/>
  <c r="B1719" i="1"/>
  <c r="B1904" i="1"/>
  <c r="B1851" i="1"/>
  <c r="B1966" i="1"/>
  <c r="B1185" i="1"/>
  <c r="B1264" i="1"/>
  <c r="B1704" i="1"/>
  <c r="B829" i="1"/>
  <c r="B1641" i="1"/>
  <c r="B1988" i="1"/>
  <c r="B1914" i="1"/>
  <c r="B2018" i="1"/>
  <c r="B2153" i="1"/>
  <c r="B452" i="1"/>
  <c r="B168" i="1"/>
  <c r="B157" i="1"/>
  <c r="B733" i="1"/>
  <c r="B1905" i="1"/>
  <c r="B563" i="1"/>
  <c r="B793" i="1"/>
  <c r="B1859" i="1"/>
  <c r="B1860" i="1"/>
  <c r="B2050" i="1"/>
  <c r="B2134" i="1"/>
  <c r="B1164" i="1"/>
  <c r="B407" i="1"/>
  <c r="B1223" i="1"/>
  <c r="B1199" i="1"/>
  <c r="B1159" i="1"/>
  <c r="B1318" i="1"/>
  <c r="B336" i="1"/>
  <c r="B2024" i="1"/>
  <c r="B1816" i="1"/>
  <c r="B1811" i="1"/>
  <c r="B1592" i="1"/>
  <c r="B49" i="1"/>
  <c r="B1878" i="1"/>
  <c r="B1371" i="1"/>
  <c r="B1879" i="1"/>
  <c r="B984" i="1"/>
  <c r="B1313" i="1"/>
  <c r="B1493" i="1"/>
  <c r="B242" i="1"/>
  <c r="B362" i="1"/>
  <c r="B526" i="1"/>
  <c r="B428" i="1"/>
  <c r="B109" i="1"/>
  <c r="B166" i="1"/>
  <c r="B118" i="1"/>
  <c r="B90" i="1"/>
  <c r="B257" i="1"/>
  <c r="B71" i="1"/>
  <c r="B308" i="1"/>
  <c r="B409" i="1"/>
  <c r="B256" i="1"/>
  <c r="B104" i="1"/>
  <c r="B442" i="1"/>
  <c r="B24" i="1"/>
  <c r="B313" i="1"/>
  <c r="B632" i="1"/>
  <c r="B414" i="1"/>
  <c r="B610" i="1"/>
  <c r="B11" i="1"/>
  <c r="B789" i="1"/>
  <c r="B849" i="1"/>
  <c r="B625" i="1"/>
  <c r="B1051" i="1"/>
  <c r="B450" i="1"/>
  <c r="B896" i="1"/>
  <c r="B1130" i="1"/>
  <c r="B318" i="1"/>
  <c r="B884" i="1"/>
  <c r="B1665" i="1"/>
  <c r="B974" i="1"/>
  <c r="B1938" i="1"/>
  <c r="B2168" i="1"/>
  <c r="B359" i="1"/>
  <c r="B532" i="1"/>
  <c r="B762" i="1"/>
  <c r="B1068" i="1"/>
  <c r="B1282" i="1"/>
  <c r="B1369" i="1"/>
  <c r="B1761" i="1"/>
  <c r="B2150" i="1"/>
  <c r="B2223" i="1"/>
  <c r="B5" i="1"/>
  <c r="B4" i="1"/>
  <c r="B10" i="1"/>
  <c r="B455" i="1"/>
  <c r="B111" i="1"/>
  <c r="B77" i="1"/>
  <c r="B749" i="1"/>
  <c r="B170" i="1"/>
  <c r="B218" i="1"/>
  <c r="B389" i="1"/>
  <c r="B1052" i="1"/>
  <c r="B14" i="1"/>
  <c r="B883" i="1"/>
  <c r="B1224" i="1"/>
  <c r="B363" i="1"/>
  <c r="B1307" i="1"/>
  <c r="B882" i="1"/>
  <c r="B634" i="1"/>
  <c r="B888" i="1"/>
  <c r="B1609" i="1"/>
  <c r="B200" i="1"/>
  <c r="B1033" i="1"/>
  <c r="B470" i="1"/>
  <c r="B150" i="1"/>
  <c r="B1200" i="1"/>
  <c r="B1135" i="1"/>
  <c r="B1567" i="1"/>
  <c r="B1819" i="1"/>
  <c r="B307" i="1"/>
  <c r="B1338" i="1"/>
  <c r="B1225" i="1"/>
  <c r="B1086" i="1"/>
  <c r="B2005" i="1"/>
  <c r="B576" i="1"/>
  <c r="B687" i="1"/>
  <c r="B1579" i="1"/>
  <c r="B967" i="1"/>
  <c r="B968" i="1"/>
  <c r="B1011" i="1"/>
  <c r="B1012" i="1"/>
  <c r="B360" i="1"/>
  <c r="B1252" i="1"/>
  <c r="B334" i="1"/>
  <c r="B1546" i="1"/>
  <c r="B1212" i="1"/>
  <c r="B1158" i="1"/>
  <c r="B564" i="1"/>
  <c r="B267" i="1"/>
  <c r="B121" i="1"/>
  <c r="B636" i="1"/>
  <c r="B957" i="1"/>
  <c r="B782" i="1"/>
  <c r="B416" i="1"/>
  <c r="B1652" i="1"/>
  <c r="B2232" i="1"/>
  <c r="B365" i="1"/>
  <c r="B30" i="1"/>
  <c r="B630" i="1"/>
  <c r="B546" i="1"/>
  <c r="B710" i="1"/>
  <c r="B679" i="1"/>
  <c r="B992" i="1"/>
  <c r="B345" i="1"/>
  <c r="B152" i="1"/>
  <c r="B367" i="1"/>
  <c r="B1661" i="1"/>
  <c r="B638" i="1"/>
  <c r="B1562" i="1"/>
  <c r="B735" i="1"/>
  <c r="B605" i="1"/>
  <c r="B194" i="1"/>
  <c r="B529" i="1"/>
  <c r="B800" i="1"/>
  <c r="B1426" i="1"/>
  <c r="B1497" i="1"/>
  <c r="B815" i="1"/>
  <c r="B791" i="1"/>
  <c r="B667" i="1"/>
  <c r="B2094" i="1"/>
  <c r="B431" i="1"/>
  <c r="B926" i="1"/>
  <c r="B164" i="1"/>
  <c r="B1335" i="1"/>
  <c r="B591" i="1"/>
  <c r="B1521" i="1"/>
  <c r="B1433" i="1"/>
  <c r="B503" i="1"/>
  <c r="B275" i="1"/>
  <c r="B128" i="1"/>
  <c r="B1020" i="1"/>
  <c r="B176" i="1"/>
  <c r="B495" i="1"/>
  <c r="B536" i="1"/>
  <c r="B1246" i="1"/>
  <c r="B1022" i="1"/>
  <c r="B1297" i="1"/>
  <c r="B1316" i="1"/>
  <c r="B1082" i="1"/>
  <c r="B847" i="1"/>
  <c r="B25" i="1"/>
  <c r="B833" i="1"/>
  <c r="B1932" i="1"/>
  <c r="B344" i="1"/>
  <c r="B342" i="1"/>
  <c r="B504" i="1"/>
  <c r="B1782" i="1"/>
  <c r="B239" i="1"/>
  <c r="B1057" i="1"/>
  <c r="B1394" i="1"/>
  <c r="B1131" i="1"/>
  <c r="B1036" i="1"/>
  <c r="B1866" i="1"/>
  <c r="B1622" i="1"/>
  <c r="B857" i="1"/>
  <c r="B1105" i="1"/>
  <c r="B1106" i="1"/>
  <c r="B2078" i="1"/>
  <c r="B552" i="1"/>
  <c r="B1542" i="1"/>
  <c r="B1880" i="1"/>
  <c r="B1805" i="1"/>
  <c r="B1958" i="1"/>
  <c r="B2086" i="1"/>
  <c r="B1853" i="1"/>
  <c r="B1978" i="1"/>
  <c r="B2000" i="1"/>
  <c r="B1852" i="1"/>
  <c r="B1907" i="1"/>
  <c r="B1089" i="1"/>
  <c r="B1922" i="1"/>
  <c r="B1540" i="1"/>
  <c r="B527" i="1"/>
  <c r="B1803" i="1"/>
  <c r="B1893" i="1"/>
  <c r="B1527" i="1"/>
  <c r="B1396" i="1"/>
  <c r="B1319" i="1"/>
  <c r="B1379" i="1"/>
  <c r="B1984" i="1"/>
  <c r="B202" i="1"/>
  <c r="B43" i="1"/>
  <c r="B335" i="1"/>
  <c r="B40" i="1"/>
  <c r="B768" i="1"/>
  <c r="B177" i="1"/>
  <c r="B734" i="1"/>
  <c r="B844" i="1"/>
  <c r="B419" i="1"/>
  <c r="B528" i="1"/>
  <c r="B490" i="1"/>
  <c r="B740" i="1"/>
  <c r="B1076" i="1"/>
  <c r="B403" i="1"/>
  <c r="B148" i="1"/>
  <c r="B125" i="1"/>
  <c r="B1536" i="1"/>
  <c r="B1814" i="1"/>
  <c r="B1828" i="1"/>
  <c r="B1894" i="1"/>
  <c r="B714" i="1"/>
  <c r="B217" i="1"/>
  <c r="B213" i="1"/>
  <c r="B464" i="1"/>
  <c r="B293" i="1"/>
  <c r="B39" i="1"/>
  <c r="B467" i="1"/>
  <c r="B339" i="1"/>
  <c r="B270" i="1"/>
  <c r="B439" i="1"/>
  <c r="B373" i="1"/>
  <c r="B165" i="1"/>
  <c r="B669" i="1"/>
  <c r="B210" i="1"/>
  <c r="B777" i="1"/>
  <c r="B1482" i="1"/>
  <c r="B1555" i="1"/>
  <c r="B1153" i="1"/>
  <c r="B946" i="1"/>
  <c r="B705" i="1"/>
  <c r="B1612" i="1"/>
  <c r="B1656" i="1"/>
  <c r="B706" i="1"/>
  <c r="B707" i="1"/>
  <c r="B1372" i="1"/>
  <c r="B1881" i="1"/>
  <c r="B1985" i="1"/>
  <c r="B198" i="1"/>
  <c r="B1310" i="1"/>
  <c r="B655" i="1"/>
  <c r="B820" i="1"/>
  <c r="B2090" i="1"/>
  <c r="B1858" i="1"/>
  <c r="B1537" i="1"/>
  <c r="B1399" i="1"/>
  <c r="B2320" i="1"/>
  <c r="B2221" i="1"/>
  <c r="B2308" i="1"/>
  <c r="B2013" i="1"/>
  <c r="B1230" i="1"/>
  <c r="B1063" i="1"/>
  <c r="B2315" i="1"/>
  <c r="B1305" i="1"/>
  <c r="B1740" i="1"/>
  <c r="B2270" i="1"/>
  <c r="B1987" i="1"/>
  <c r="B2046" i="1"/>
  <c r="B1391" i="1"/>
  <c r="B2166" i="1"/>
  <c r="B1421" i="1"/>
  <c r="B2064" i="1"/>
  <c r="B2116" i="1"/>
  <c r="B2325" i="1"/>
  <c r="B1124" i="1"/>
  <c r="B2327" i="1"/>
  <c r="B2317" i="1"/>
  <c r="B1424" i="1"/>
  <c r="B1771" i="1"/>
  <c r="B1953" i="1"/>
  <c r="B1944" i="1"/>
  <c r="B1623" i="1"/>
  <c r="B2139" i="1"/>
  <c r="B2102" i="1"/>
  <c r="B1972" i="1"/>
  <c r="B1957" i="1"/>
  <c r="B2163" i="1"/>
  <c r="B2006" i="1"/>
  <c r="B2188" i="1"/>
  <c r="B1913" i="1"/>
  <c r="B1549" i="1"/>
  <c r="B1114" i="1"/>
  <c r="B2309" i="1"/>
  <c r="B1636" i="1"/>
  <c r="B1763" i="1"/>
  <c r="B2248" i="1"/>
  <c r="B263" i="1"/>
  <c r="B226" i="1"/>
  <c r="B294" i="1"/>
  <c r="B2300" i="1"/>
  <c r="B2273" i="1"/>
  <c r="B2186" i="1"/>
  <c r="B1798" i="1"/>
  <c r="B1799" i="1"/>
  <c r="B1800" i="1"/>
  <c r="B2295" i="1"/>
  <c r="B1489" i="1"/>
  <c r="B1490" i="1"/>
  <c r="B1491" i="1"/>
  <c r="B2307" i="1"/>
  <c r="B2118" i="1"/>
  <c r="B1174" i="1"/>
  <c r="B1442" i="1"/>
  <c r="B2211" i="1"/>
  <c r="B2002" i="1"/>
  <c r="B2303" i="1"/>
  <c r="B1617" i="1"/>
  <c r="B2281" i="1"/>
  <c r="B1601" i="1"/>
  <c r="B887" i="1"/>
  <c r="B1815" i="1"/>
  <c r="B1734" i="1"/>
  <c r="B2165" i="1"/>
  <c r="B2045" i="1"/>
  <c r="B1441" i="1"/>
  <c r="B934" i="1"/>
  <c r="B1556" i="1"/>
  <c r="B1543" i="1"/>
  <c r="B1645" i="1"/>
  <c r="B2075" i="1"/>
  <c r="B1909" i="1"/>
  <c r="B1663" i="1"/>
  <c r="B1359" i="1"/>
  <c r="B1707" i="1"/>
  <c r="B2059" i="1"/>
  <c r="B2203" i="1"/>
  <c r="B2117" i="1"/>
  <c r="B688" i="1"/>
  <c r="B1970" i="1"/>
  <c r="B1520" i="1"/>
  <c r="B1839" i="1"/>
  <c r="B1582" i="1"/>
  <c r="B821" i="1"/>
  <c r="B2061" i="1"/>
  <c r="B1676" i="1"/>
  <c r="B1154" i="1"/>
  <c r="B1121" i="1"/>
  <c r="B1122" i="1"/>
  <c r="B750" i="1"/>
  <c r="B781" i="1"/>
  <c r="B2191" i="1"/>
  <c r="B748" i="1"/>
  <c r="B830" i="1"/>
  <c r="B1034" i="1"/>
  <c r="B1064" i="1"/>
  <c r="B1183" i="1"/>
  <c r="B1043" i="1"/>
  <c r="B1320" i="1"/>
  <c r="B2162" i="1"/>
  <c r="B1640" i="1"/>
  <c r="B1574" i="1"/>
  <c r="B2222" i="1"/>
  <c r="B2057" i="1"/>
  <c r="B129" i="1"/>
  <c r="B2321" i="1"/>
  <c r="B1844" i="1"/>
  <c r="B1390" i="1"/>
  <c r="B33" i="1"/>
  <c r="B2025" i="1"/>
  <c r="B2293" i="1"/>
  <c r="B689" i="1"/>
  <c r="B255" i="1"/>
  <c r="B349" i="1"/>
  <c r="B2132" i="1"/>
  <c r="B505" i="1"/>
  <c r="B1992" i="1"/>
  <c r="B487" i="1"/>
  <c r="B2148" i="1"/>
  <c r="B2266" i="1"/>
  <c r="B1452" i="1"/>
  <c r="B1789" i="1"/>
  <c r="B1831" i="1"/>
  <c r="B1908" i="1"/>
  <c r="B724" i="1"/>
  <c r="B1480" i="1"/>
  <c r="B1236" i="1"/>
  <c r="B1227" i="1"/>
  <c r="B962" i="1"/>
  <c r="B1420" i="1"/>
  <c r="B1875" i="1"/>
  <c r="B1195" i="1"/>
  <c r="B2249" i="1"/>
  <c r="B149" i="1"/>
  <c r="B412" i="1"/>
  <c r="B184" i="1"/>
  <c r="B1134" i="1"/>
  <c r="B550" i="1"/>
  <c r="B2004" i="1"/>
  <c r="B2177" i="1"/>
  <c r="B2204" i="1"/>
  <c r="B1541" i="1"/>
  <c r="B2032" i="1"/>
  <c r="B2242" i="1"/>
  <c r="B385" i="1"/>
  <c r="B1750" i="1"/>
  <c r="B1606" i="1"/>
  <c r="B708" i="1"/>
  <c r="B1360" i="1"/>
  <c r="B1538" i="1"/>
  <c r="B1735" i="1"/>
  <c r="B304" i="1"/>
  <c r="B1714" i="1"/>
  <c r="B1637" i="1"/>
  <c r="B1772" i="1"/>
  <c r="B1325" i="1"/>
  <c r="B947" i="1"/>
  <c r="B1197" i="1"/>
  <c r="B1821" i="1"/>
  <c r="B939" i="1"/>
  <c r="B811" i="1"/>
  <c r="B693" i="1"/>
  <c r="B1365" i="1"/>
  <c r="B354" i="1"/>
  <c r="B417" i="1"/>
  <c r="B767" i="1"/>
  <c r="B565" i="1"/>
  <c r="B175" i="1"/>
  <c r="B1392" i="1"/>
  <c r="B1872" i="1"/>
  <c r="B1773" i="1"/>
  <c r="B1102" i="1"/>
  <c r="B1380" i="1"/>
  <c r="B457" i="1"/>
  <c r="B156" i="1"/>
  <c r="B1054" i="1"/>
  <c r="B1563" i="1"/>
  <c r="B1465" i="1"/>
  <c r="B2037" i="1"/>
  <c r="B251" i="1"/>
  <c r="B252" i="1"/>
  <c r="B316" i="1"/>
  <c r="B481" i="1"/>
  <c r="B1273" i="1"/>
  <c r="B1672" i="1"/>
  <c r="B2194" i="1"/>
  <c r="B1746" i="1"/>
  <c r="B1818" i="1"/>
  <c r="B2298" i="1"/>
  <c r="A665" i="1"/>
  <c r="A1314" i="1"/>
  <c r="A1494" i="1"/>
  <c r="A340" i="1"/>
  <c r="A1259" i="1"/>
  <c r="A1550" i="1"/>
  <c r="A766" i="1"/>
  <c r="A305" i="1"/>
  <c r="A211" i="1"/>
  <c r="A2267" i="1"/>
  <c r="A1362" i="1"/>
  <c r="A1593" i="1"/>
  <c r="A2259" i="1"/>
  <c r="A280" i="1"/>
  <c r="A516" i="1"/>
  <c r="A1074" i="1"/>
  <c r="A337" i="1"/>
  <c r="A410" i="1"/>
  <c r="A697" i="1"/>
  <c r="A233" i="1"/>
  <c r="A533" i="1"/>
  <c r="A2205" i="1"/>
  <c r="A2226" i="1"/>
  <c r="A1040" i="1"/>
  <c r="A903" i="1"/>
  <c r="A716" i="1"/>
  <c r="A483" i="1"/>
  <c r="A1284" i="1"/>
  <c r="A2068" i="1"/>
  <c r="A1157" i="1"/>
  <c r="A2271" i="1"/>
  <c r="A2136" i="1"/>
  <c r="A931" i="1"/>
  <c r="A977" i="1"/>
  <c r="A2268" i="1"/>
  <c r="A2283" i="1"/>
  <c r="A2227" i="1"/>
  <c r="A554" i="1"/>
  <c r="A2272" i="1"/>
  <c r="A2077" i="1"/>
  <c r="A2316" i="1"/>
  <c r="A1205" i="1"/>
  <c r="A2328" i="1"/>
  <c r="A911" i="1"/>
  <c r="A981" i="1"/>
  <c r="A1954" i="1"/>
  <c r="A2274" i="1"/>
  <c r="A2020" i="1"/>
  <c r="A1276" i="1"/>
  <c r="A598" i="1"/>
  <c r="A1648" i="1"/>
  <c r="A1671" i="1"/>
  <c r="A1960" i="1"/>
  <c r="A917" i="1"/>
  <c r="A2284" i="1"/>
  <c r="A1955" i="1"/>
  <c r="A1963" i="1"/>
  <c r="A1644" i="1"/>
  <c r="A2312" i="1"/>
  <c r="A1293" i="1"/>
  <c r="A1169" i="1"/>
  <c r="A2245" i="1"/>
  <c r="A2326" i="1"/>
  <c r="A1598" i="1"/>
  <c r="A1625" i="1"/>
  <c r="A346" i="1"/>
  <c r="A1078" i="1"/>
  <c r="A893" i="1"/>
  <c r="A1466" i="1"/>
  <c r="A466" i="1"/>
  <c r="A376" i="1"/>
  <c r="A725" i="1"/>
  <c r="A1697" i="1"/>
  <c r="A381" i="1"/>
  <c r="A400" i="1"/>
  <c r="A2297" i="1"/>
  <c r="A2279" i="1"/>
  <c r="A1308" i="1"/>
  <c r="A1823" i="1"/>
  <c r="A2065" i="1"/>
  <c r="A1675" i="1"/>
  <c r="A2235" i="1"/>
  <c r="A831" i="1"/>
  <c r="A1115" i="1"/>
  <c r="A382" i="1"/>
  <c r="A794" i="1"/>
  <c r="A1627" i="1"/>
  <c r="A1256" i="1"/>
  <c r="A1964" i="1"/>
  <c r="A2042" i="1"/>
  <c r="A1487" i="1"/>
  <c r="A1383" i="1"/>
  <c r="A813" i="1"/>
  <c r="A594" i="1"/>
  <c r="A1453" i="1"/>
  <c r="A1015" i="1"/>
  <c r="A2130" i="1"/>
  <c r="A2178" i="1"/>
  <c r="A2269" i="1"/>
  <c r="A1889" i="1"/>
  <c r="A1257" i="1"/>
  <c r="A954" i="1"/>
  <c r="A1832" i="1"/>
  <c r="A681" i="1"/>
  <c r="A1630" i="1"/>
  <c r="A2299" i="1"/>
  <c r="A699" i="1"/>
  <c r="A2031" i="1"/>
  <c r="A2184" i="1"/>
  <c r="A1677" i="1"/>
  <c r="A1854" i="1"/>
  <c r="A517" i="1"/>
  <c r="A2028" i="1"/>
  <c r="A1897" i="1"/>
  <c r="A1884" i="1"/>
  <c r="A1691" i="1"/>
  <c r="A2172" i="1"/>
  <c r="A2313" i="1"/>
  <c r="A1757" i="1"/>
  <c r="A1961" i="1"/>
  <c r="A2210" i="1"/>
  <c r="A1812" i="1"/>
  <c r="A1526" i="1"/>
  <c r="A136" i="1"/>
  <c r="A2087" i="1"/>
  <c r="A2239" i="1"/>
  <c r="A1407" i="1"/>
  <c r="A2323" i="1"/>
  <c r="A2206" i="1"/>
  <c r="A1997" i="1"/>
  <c r="A2201" i="1"/>
  <c r="A1876" i="1"/>
  <c r="A1887" i="1"/>
  <c r="A1435" i="1"/>
  <c r="A1915" i="1"/>
  <c r="A1090" i="1"/>
  <c r="A1324" i="1"/>
  <c r="A1438" i="1"/>
  <c r="A2126" i="1"/>
  <c r="A795" i="1"/>
  <c r="A1728" i="1"/>
  <c r="A2288" i="1"/>
  <c r="A1945" i="1"/>
  <c r="A1980" i="1"/>
  <c r="A2324" i="1"/>
  <c r="A2318" i="1"/>
  <c r="A1729" i="1"/>
  <c r="A2275" i="1"/>
  <c r="A1776" i="1"/>
  <c r="A2033" i="1"/>
  <c r="A1576" i="1"/>
  <c r="A1769" i="1"/>
  <c r="A969" i="1"/>
  <c r="A159" i="1"/>
  <c r="A1177" i="1"/>
  <c r="A1642" i="1"/>
  <c r="A219" i="1"/>
  <c r="A456" i="1"/>
  <c r="A1681" i="1"/>
  <c r="A22" i="1"/>
  <c r="A515" i="1"/>
  <c r="A6" i="1"/>
  <c r="A480" i="1"/>
  <c r="A2027" i="1"/>
  <c r="A1783" i="1"/>
  <c r="A783" i="1"/>
  <c r="A1947" i="1"/>
  <c r="A1585" i="1"/>
  <c r="A1586" i="1"/>
  <c r="A1532" i="1"/>
  <c r="A1356" i="1"/>
  <c r="A1045" i="1"/>
  <c r="A1058" i="1"/>
  <c r="A1044" i="1"/>
  <c r="A1247" i="1"/>
  <c r="A2144" i="1"/>
  <c r="A1736" i="1"/>
  <c r="A1201" i="1"/>
  <c r="A1869" i="1"/>
  <c r="A2289" i="1"/>
  <c r="A2111" i="1"/>
  <c r="A1503" i="1"/>
  <c r="A1849" i="1"/>
  <c r="A1547" i="1"/>
  <c r="A1367" i="1"/>
  <c r="A1364" i="1"/>
  <c r="A1306" i="1"/>
  <c r="A432" i="1"/>
  <c r="A1502" i="1"/>
  <c r="A700" i="1"/>
  <c r="A973" i="1"/>
  <c r="A2088" i="1"/>
  <c r="A1027" i="1"/>
  <c r="A718" i="1"/>
  <c r="A1087" i="1"/>
  <c r="A518" i="1"/>
  <c r="A633" i="1"/>
  <c r="A1327" i="1"/>
  <c r="A494" i="1"/>
  <c r="A1653" i="1"/>
  <c r="A209" i="1"/>
  <c r="A1842" i="1"/>
  <c r="A1301" i="1"/>
  <c r="A824" i="1"/>
  <c r="A796" i="1"/>
  <c r="A918" i="1"/>
  <c r="A837" i="1"/>
  <c r="A642" i="1"/>
  <c r="A1508" i="1"/>
  <c r="A1100" i="1"/>
  <c r="A1049" i="1"/>
  <c r="A396" i="1"/>
  <c r="A519" i="1"/>
  <c r="A520" i="1"/>
  <c r="A321" i="1"/>
  <c r="A855" i="1"/>
  <c r="A281" i="1"/>
  <c r="A282" i="1"/>
  <c r="A823" i="1"/>
  <c r="A1743" i="1"/>
  <c r="A1037" i="1"/>
  <c r="A1285" i="1"/>
  <c r="A1615" i="1"/>
  <c r="A1026" i="1"/>
  <c r="A366" i="1"/>
  <c r="A812" i="1"/>
  <c r="A927" i="1"/>
  <c r="A726" i="1"/>
  <c r="A654" i="1"/>
  <c r="A904" i="1"/>
  <c r="A234" i="1"/>
  <c r="A963" i="1"/>
  <c r="A1263" i="1"/>
  <c r="A1192" i="1"/>
  <c r="A909" i="1"/>
  <c r="A958" i="1"/>
  <c r="A331" i="1"/>
  <c r="A264" i="1"/>
  <c r="A171" i="1"/>
  <c r="A555" i="1"/>
  <c r="A426" i="1"/>
  <c r="A696" i="1"/>
  <c r="A116" i="1"/>
  <c r="A1092" i="1"/>
  <c r="A1025" i="1"/>
  <c r="A1896" i="1"/>
  <c r="A261" i="1"/>
  <c r="A394" i="1"/>
  <c r="A1796" i="1"/>
  <c r="A771" i="1"/>
  <c r="A1137" i="1"/>
  <c r="A1471" i="1"/>
  <c r="A1146" i="1"/>
  <c r="A425" i="1"/>
  <c r="A271" i="1"/>
  <c r="A1446" i="1"/>
  <c r="A1413" i="1"/>
  <c r="A220" i="1"/>
  <c r="A1166" i="1"/>
  <c r="A1724" i="1"/>
  <c r="A397" i="1"/>
  <c r="A348" i="1"/>
  <c r="A332" i="1"/>
  <c r="A1591" i="1"/>
  <c r="A1618" i="1"/>
  <c r="A449" i="1"/>
  <c r="A418" i="1"/>
  <c r="A296" i="1"/>
  <c r="A860" i="1"/>
  <c r="A1414" i="1"/>
  <c r="A1009" i="1"/>
  <c r="A932" i="1"/>
  <c r="A347" i="1"/>
  <c r="A127" i="1"/>
  <c r="A401" i="1"/>
  <c r="A295" i="1"/>
  <c r="A147" i="1"/>
  <c r="A235" i="1"/>
  <c r="A1075" i="1"/>
  <c r="A317" i="1"/>
  <c r="A15" i="1"/>
  <c r="A1603" i="1"/>
  <c r="A1303" i="1"/>
  <c r="A388" i="1"/>
  <c r="A938" i="1"/>
  <c r="A1083" i="1"/>
  <c r="A1404" i="1"/>
  <c r="A892" i="1"/>
  <c r="A1188" i="1"/>
  <c r="A961" i="1"/>
  <c r="A1311" i="1"/>
  <c r="A951" i="1"/>
  <c r="A1211" i="1"/>
  <c r="A944" i="1"/>
  <c r="A364" i="1"/>
  <c r="A1189" i="1"/>
  <c r="A433" i="1"/>
  <c r="A1094" i="1"/>
  <c r="A864" i="1"/>
  <c r="A1529" i="1"/>
  <c r="A1720" i="1"/>
  <c r="A475" i="1"/>
  <c r="A738" i="1"/>
  <c r="A891" i="1"/>
  <c r="A607" i="1"/>
  <c r="A514" i="1"/>
  <c r="A972" i="1"/>
  <c r="A153" i="1"/>
  <c r="A243" i="1"/>
  <c r="A244" i="1"/>
  <c r="A862" i="1"/>
  <c r="A1091" i="1"/>
  <c r="A698" i="1"/>
  <c r="A682" i="1"/>
  <c r="A402" i="1"/>
  <c r="A578" i="1"/>
  <c r="A370" i="1"/>
  <c r="A599" i="1"/>
  <c r="A1483" i="1"/>
  <c r="A1111" i="1"/>
  <c r="A215" i="1"/>
  <c r="A713" i="1"/>
  <c r="A804" i="1"/>
  <c r="A792" i="1"/>
  <c r="A874" i="1"/>
  <c r="A659" i="1"/>
  <c r="A919" i="1"/>
  <c r="A1139" i="1"/>
  <c r="A1165" i="1"/>
  <c r="A881" i="1"/>
  <c r="A727" i="1"/>
  <c r="A1210" i="1"/>
  <c r="A1180" i="1"/>
  <c r="A548" i="1"/>
  <c r="A501" i="1"/>
  <c r="A985" i="1"/>
  <c r="A2322" i="1"/>
  <c r="A1515" i="1"/>
  <c r="A2224" i="1"/>
  <c r="A107" i="1"/>
  <c r="A838" i="1"/>
  <c r="A422" i="1"/>
  <c r="A2290" i="1"/>
  <c r="A2001" i="1"/>
  <c r="A1674" i="1"/>
  <c r="A1969" i="1"/>
  <c r="A2089" i="1"/>
  <c r="A1206" i="1"/>
  <c r="A1787" i="1"/>
  <c r="A920" i="1"/>
  <c r="A976" i="1"/>
  <c r="A1678" i="1"/>
  <c r="A521" i="1"/>
  <c r="A78" i="1"/>
  <c r="A853" i="1"/>
  <c r="A391" i="1"/>
  <c r="A1142" i="1"/>
  <c r="A728" i="1"/>
  <c r="A996" i="1"/>
  <c r="A658" i="1"/>
  <c r="A921" i="1"/>
  <c r="A643" i="1"/>
  <c r="A683" i="1"/>
  <c r="A538" i="1"/>
  <c r="A556" i="1"/>
  <c r="A2167" i="1"/>
  <c r="A1207" i="1"/>
  <c r="A1382" i="1"/>
  <c r="A1202" i="1"/>
  <c r="A1203" i="1"/>
  <c r="A1998" i="1"/>
  <c r="A1820" i="1"/>
  <c r="A2260" i="1"/>
  <c r="A2195" i="1"/>
  <c r="A1638" i="1"/>
  <c r="A959" i="1"/>
  <c r="A2093" i="1"/>
  <c r="A1136" i="1"/>
  <c r="A1989" i="1"/>
  <c r="A2250" i="1"/>
  <c r="A1982" i="1"/>
  <c r="A1990" i="1"/>
  <c r="A1244" i="1"/>
  <c r="A2085" i="1"/>
  <c r="A2236" i="1"/>
  <c r="A1403" i="1"/>
  <c r="A722" i="1"/>
  <c r="A1778" i="1"/>
  <c r="A169" i="1"/>
  <c r="A755" i="1"/>
  <c r="A993" i="1"/>
  <c r="A29" i="1"/>
  <c r="A997" i="1"/>
  <c r="A1016" i="1"/>
  <c r="A797" i="1"/>
  <c r="A865" i="1"/>
  <c r="A2215" i="1"/>
  <c r="A2140" i="1"/>
  <c r="A2160" i="1"/>
  <c r="A2161" i="1"/>
  <c r="A1473" i="1"/>
  <c r="A1167" i="1"/>
  <c r="A1248" i="1"/>
  <c r="A1249" i="1"/>
  <c r="A1765" i="1"/>
  <c r="A1692" i="1"/>
  <c r="A2009" i="1"/>
  <c r="A2124" i="1"/>
  <c r="A2097" i="1"/>
  <c r="A2123" i="1"/>
  <c r="A2305" i="1"/>
  <c r="A2208" i="1"/>
  <c r="A2255" i="1"/>
  <c r="A2120" i="1"/>
  <c r="A2082" i="1"/>
  <c r="A1766" i="1"/>
  <c r="A1699" i="1"/>
  <c r="A1717" i="1"/>
  <c r="A1926" i="1"/>
  <c r="A2091" i="1"/>
  <c r="A2176" i="1"/>
  <c r="A2231" i="1"/>
  <c r="A2216" i="1"/>
  <c r="A502" i="1"/>
  <c r="A751" i="1"/>
  <c r="A13" i="1"/>
  <c r="A18" i="1"/>
  <c r="A19" i="1"/>
  <c r="A411" i="1"/>
  <c r="A361" i="1"/>
  <c r="A473" i="1"/>
  <c r="A357" i="1"/>
  <c r="A151" i="1"/>
  <c r="A393" i="1"/>
  <c r="A916" i="1"/>
  <c r="A120" i="1"/>
  <c r="A935" i="1"/>
  <c r="A1132" i="1"/>
  <c r="A380" i="1"/>
  <c r="A390" i="1"/>
  <c r="A485" i="1"/>
  <c r="A534" i="1"/>
  <c r="A1099" i="1"/>
  <c r="A358" i="1"/>
  <c r="A660" i="1"/>
  <c r="A278" i="1"/>
  <c r="A571" i="1"/>
  <c r="A668" i="1"/>
  <c r="A1059" i="1"/>
  <c r="A1088" i="1"/>
  <c r="A1271" i="1"/>
  <c r="A711" i="1"/>
  <c r="A283" i="1"/>
  <c r="A155" i="1"/>
  <c r="A446" i="1"/>
  <c r="A1415" i="1"/>
  <c r="A1504" i="1"/>
  <c r="A1128" i="1"/>
  <c r="A839" i="1"/>
  <c r="A1238" i="1"/>
  <c r="A1731" i="1"/>
  <c r="A1156" i="1"/>
  <c r="A1260" i="1"/>
  <c r="A1552" i="1"/>
  <c r="A2101" i="1"/>
  <c r="A221" i="1"/>
  <c r="A434" i="1"/>
  <c r="A448" i="1"/>
  <c r="A350" i="1"/>
  <c r="A948" i="1"/>
  <c r="A1501" i="1"/>
  <c r="A1916" i="1"/>
  <c r="A772" i="1"/>
  <c r="A1191" i="1"/>
  <c r="A1393" i="1"/>
  <c r="A657" i="1"/>
  <c r="A863" i="1"/>
  <c r="A1168" i="1"/>
  <c r="A491" i="1"/>
  <c r="A1363" i="1"/>
  <c r="A964" i="1"/>
  <c r="A1486" i="1"/>
  <c r="A1578" i="1"/>
  <c r="A1198" i="1"/>
  <c r="A1666" i="1"/>
  <c r="A729" i="1"/>
  <c r="A799" i="1"/>
  <c r="A2199" i="1"/>
  <c r="A2074" i="1"/>
  <c r="A2048" i="1"/>
  <c r="A1868" i="1"/>
  <c r="A1754" i="1"/>
  <c r="A1495" i="1"/>
  <c r="A2029" i="1"/>
  <c r="A2301" i="1"/>
  <c r="A978" i="1"/>
  <c r="A1657" i="1"/>
  <c r="A1602" i="1"/>
  <c r="A1451" i="1"/>
  <c r="A1242" i="1"/>
  <c r="A1055" i="1"/>
  <c r="A1673" i="1"/>
  <c r="A1647" i="1"/>
  <c r="A1759" i="1"/>
  <c r="A1703" i="1"/>
  <c r="A2169" i="1"/>
  <c r="A2240" i="1"/>
  <c r="A2243" i="1"/>
  <c r="A2282" i="1"/>
  <c r="A1976" i="1"/>
  <c r="A1996" i="1"/>
  <c r="A1937" i="1"/>
  <c r="A2043" i="1"/>
  <c r="A1739" i="1"/>
  <c r="A1829" i="1"/>
  <c r="A2052" i="1"/>
  <c r="A1492" i="1"/>
  <c r="A2197" i="1"/>
  <c r="A2302" i="1"/>
  <c r="A2053" i="1"/>
  <c r="A2251" i="1"/>
  <c r="A2238" i="1"/>
  <c r="A1943" i="1"/>
  <c r="A2179" i="1"/>
  <c r="A2146" i="1"/>
  <c r="A2030" i="1"/>
  <c r="A1730" i="1"/>
  <c r="A1243" i="1"/>
  <c r="A1479" i="1"/>
  <c r="A1951" i="1"/>
  <c r="A2152" i="1"/>
  <c r="A2173" i="1"/>
  <c r="A1999" i="1"/>
  <c r="A2103" i="1"/>
  <c r="A2187" i="1"/>
  <c r="A2170" i="1"/>
  <c r="A1779" i="1"/>
  <c r="A2196" i="1"/>
  <c r="A2247" i="1"/>
  <c r="A2253" i="1"/>
  <c r="A982" i="1"/>
  <c r="A835" i="1"/>
  <c r="A557" i="1"/>
  <c r="A300" i="1"/>
  <c r="A798" i="1"/>
  <c r="A1794" i="1"/>
  <c r="A1474" i="1"/>
  <c r="A684" i="1"/>
  <c r="A1345" i="1"/>
  <c r="A1397" i="1"/>
  <c r="A1485" i="1"/>
  <c r="A1229" i="1"/>
  <c r="A1628" i="1"/>
  <c r="A465" i="1"/>
  <c r="A460" i="1"/>
  <c r="A482" i="1"/>
  <c r="A2062" i="1"/>
  <c r="A2108" i="1"/>
  <c r="A186" i="1"/>
  <c r="A310" i="1"/>
  <c r="A2095" i="1"/>
  <c r="A1917" i="1"/>
  <c r="A2014" i="1"/>
  <c r="A955" i="1"/>
  <c r="A1477" i="1"/>
  <c r="A1231" i="1"/>
  <c r="A1374" i="1"/>
  <c r="A1912" i="1"/>
  <c r="A1160" i="1"/>
  <c r="A1232" i="1"/>
  <c r="A1478" i="1"/>
  <c r="A1427" i="1"/>
  <c r="A1290" i="1"/>
  <c r="A1408" i="1"/>
  <c r="A322" i="1"/>
  <c r="A476" i="1"/>
  <c r="A730" i="1"/>
  <c r="A1079" i="1"/>
  <c r="A848" i="1"/>
  <c r="A1700" i="1"/>
  <c r="A1116" i="1"/>
  <c r="A1147" i="1"/>
  <c r="A2202" i="1"/>
  <c r="A627" i="1"/>
  <c r="A1193" i="1"/>
  <c r="A1161" i="1"/>
  <c r="A1649" i="1"/>
  <c r="A998" i="1"/>
  <c r="A1886" i="1"/>
  <c r="A1942" i="1"/>
  <c r="A1967" i="1"/>
  <c r="A1898" i="1"/>
  <c r="A486" i="1"/>
  <c r="A1934" i="1"/>
  <c r="A1968" i="1"/>
  <c r="A2319" i="1"/>
  <c r="A827" i="1"/>
  <c r="A1481" i="1"/>
  <c r="A1272" i="1"/>
  <c r="A1430" i="1"/>
  <c r="A413" i="1"/>
  <c r="A1925" i="1"/>
  <c r="A1117" i="1"/>
  <c r="A1017" i="1"/>
  <c r="A806" i="1"/>
  <c r="A2038" i="1"/>
  <c r="A1903" i="1"/>
  <c r="A1619" i="1"/>
  <c r="A558" i="1"/>
  <c r="A1437" i="1"/>
  <c r="A709" i="1"/>
  <c r="A1607" i="1"/>
  <c r="A1468" i="1"/>
  <c r="A1587" i="1"/>
  <c r="A1519" i="1"/>
  <c r="A1439" i="1"/>
  <c r="A1599" i="1"/>
  <c r="A1646" i="1"/>
  <c r="A405" i="1"/>
  <c r="A240" i="1"/>
  <c r="A1361" i="1"/>
  <c r="A1620" i="1"/>
  <c r="A1553" i="1"/>
  <c r="A807" i="1"/>
  <c r="A1804" i="1"/>
  <c r="A1348" i="1"/>
  <c r="A1007" i="1"/>
  <c r="A1355" i="1"/>
  <c r="A1387" i="1"/>
  <c r="A1781" i="1"/>
  <c r="A1178" i="1"/>
  <c r="A1265" i="1"/>
  <c r="A1322" i="1"/>
  <c r="A1770" i="1"/>
  <c r="A885" i="1"/>
  <c r="A720" i="1"/>
  <c r="A736" i="1"/>
  <c r="A953" i="1"/>
  <c r="A1216" i="1"/>
  <c r="A983" i="1"/>
  <c r="A1850" i="1"/>
  <c r="A477" i="1"/>
  <c r="A773" i="1"/>
  <c r="A566" i="1"/>
  <c r="A567" i="1"/>
  <c r="A568" i="1"/>
  <c r="A678" i="1"/>
  <c r="A1334" i="1"/>
  <c r="A1429" i="1"/>
  <c r="A1181" i="1"/>
  <c r="A547" i="1"/>
  <c r="A375" i="1"/>
  <c r="A764" i="1"/>
  <c r="A1948" i="1"/>
  <c r="A1949" i="1"/>
  <c r="A2055" i="1"/>
  <c r="A1981" i="1"/>
  <c r="A1572" i="1"/>
  <c r="A1933" i="1"/>
  <c r="A670" i="1"/>
  <c r="A423" i="1"/>
  <c r="A174" i="1"/>
  <c r="A825" i="1"/>
  <c r="A420" i="1"/>
  <c r="A1861" i="1"/>
  <c r="A315" i="1"/>
  <c r="A245" i="1"/>
  <c r="A2034" i="1"/>
  <c r="A1685" i="1"/>
  <c r="A1148" i="1"/>
  <c r="A378" i="1"/>
  <c r="A1952" i="1"/>
  <c r="A1385" i="1"/>
  <c r="A1802" i="1"/>
  <c r="A717" i="1"/>
  <c r="A2127" i="1"/>
  <c r="A2041" i="1"/>
  <c r="A2021" i="1"/>
  <c r="A879" i="1"/>
  <c r="A933" i="1"/>
  <c r="A1568" i="1"/>
  <c r="A1885" i="1"/>
  <c r="A1255" i="1"/>
  <c r="A1973" i="1"/>
  <c r="A1888" i="1"/>
  <c r="A1070" i="1"/>
  <c r="A673" i="1"/>
  <c r="A1509" i="1"/>
  <c r="A877" i="1"/>
  <c r="A1219" i="1"/>
  <c r="A130" i="1"/>
  <c r="A76" i="1"/>
  <c r="A301" i="1"/>
  <c r="A471" i="1"/>
  <c r="A58" i="1"/>
  <c r="A101" i="1"/>
  <c r="A20" i="1"/>
  <c r="A392" i="1"/>
  <c r="A182" i="1"/>
  <c r="A27" i="1"/>
  <c r="A28" i="1"/>
  <c r="A284" i="1"/>
  <c r="A21" i="1"/>
  <c r="A461" i="1"/>
  <c r="A34" i="1"/>
  <c r="A47" i="1"/>
  <c r="A35" i="1"/>
  <c r="A50" i="1"/>
  <c r="A368" i="1"/>
  <c r="A51" i="1"/>
  <c r="A179" i="1"/>
  <c r="A73" i="1"/>
  <c r="A237" i="1"/>
  <c r="A83" i="1"/>
  <c r="A258" i="1"/>
  <c r="A53" i="1"/>
  <c r="A266" i="1"/>
  <c r="A65" i="1"/>
  <c r="A98" i="1"/>
  <c r="A72" i="1"/>
  <c r="A100" i="1"/>
  <c r="A86" i="1"/>
  <c r="A195" i="1"/>
  <c r="A41" i="1"/>
  <c r="A430" i="1"/>
  <c r="A84" i="1"/>
  <c r="A132" i="1"/>
  <c r="A285" i="1"/>
  <c r="A45" i="1"/>
  <c r="A105" i="1"/>
  <c r="A330" i="1"/>
  <c r="A106" i="1"/>
  <c r="A154" i="1"/>
  <c r="A66" i="1"/>
  <c r="A444" i="1"/>
  <c r="A69" i="1"/>
  <c r="A232" i="1"/>
  <c r="A70" i="1"/>
  <c r="A238" i="1"/>
  <c r="A208" i="1"/>
  <c r="A212" i="1"/>
  <c r="A87" i="1"/>
  <c r="A595" i="1"/>
  <c r="A91" i="1"/>
  <c r="A492" i="1"/>
  <c r="A92" i="1"/>
  <c r="A458" i="1"/>
  <c r="A99" i="1"/>
  <c r="A596" i="1"/>
  <c r="A113" i="1"/>
  <c r="A459" i="1"/>
  <c r="A112" i="1"/>
  <c r="A614" i="1"/>
  <c r="A137" i="1"/>
  <c r="A621" i="1"/>
  <c r="A138" i="1"/>
  <c r="A579" i="1"/>
  <c r="A440" i="1"/>
  <c r="A585" i="1"/>
  <c r="A499" i="1"/>
  <c r="A763" i="1"/>
  <c r="A424" i="1"/>
  <c r="A769" i="1"/>
  <c r="A474" i="1"/>
  <c r="A780" i="1"/>
  <c r="A286" i="1"/>
  <c r="A805" i="1"/>
  <c r="A611" i="1"/>
  <c r="A814" i="1"/>
  <c r="A592" i="1"/>
  <c r="A624" i="1"/>
  <c r="A522" i="1"/>
  <c r="A102" i="1"/>
  <c r="A737" i="1"/>
  <c r="A134" i="1"/>
  <c r="A1080" i="1"/>
  <c r="A302" i="1"/>
  <c r="A398" i="1"/>
  <c r="A172" i="1"/>
  <c r="A135" i="1"/>
  <c r="A1373" i="1"/>
  <c r="A1597" i="1"/>
  <c r="A1548" i="1"/>
  <c r="A866" i="1"/>
  <c r="A651" i="1"/>
  <c r="A1409" i="1"/>
  <c r="A1113" i="1"/>
  <c r="A276" i="1"/>
  <c r="A323" i="1"/>
  <c r="A298" i="1"/>
  <c r="A1386" i="1"/>
  <c r="A1741" i="1"/>
  <c r="A1321" i="1"/>
  <c r="A1095" i="1"/>
  <c r="A441" i="1"/>
  <c r="A262" i="1"/>
  <c r="A631" i="1"/>
  <c r="A1517" i="1"/>
  <c r="A1993" i="1"/>
  <c r="A2012" i="1"/>
  <c r="A2119" i="1"/>
  <c r="A639" i="1"/>
  <c r="A1583" i="1"/>
  <c r="A1400" i="1"/>
  <c r="A1715" i="1"/>
  <c r="A1498" i="1"/>
  <c r="A1755" i="1"/>
  <c r="A1767" i="1"/>
  <c r="A338" i="1"/>
  <c r="A180" i="1"/>
  <c r="A1682" i="1"/>
  <c r="A899" i="1"/>
  <c r="A496" i="1"/>
  <c r="A478" i="1"/>
  <c r="A1795" i="1"/>
  <c r="A2084" i="1"/>
  <c r="A259" i="1"/>
  <c r="A1695" i="1"/>
  <c r="A249" i="1"/>
  <c r="A1261" i="1"/>
  <c r="A2237" i="1"/>
  <c r="A1118" i="1"/>
  <c r="A2229" i="1"/>
  <c r="A828" i="1"/>
  <c r="A1104" i="1"/>
  <c r="A523" i="1"/>
  <c r="A945" i="1"/>
  <c r="A539" i="1"/>
  <c r="A1346" i="1"/>
  <c r="A287" i="1"/>
  <c r="A250" i="1"/>
  <c r="A206" i="1"/>
  <c r="A840" i="1"/>
  <c r="A731" i="1"/>
  <c r="A661" i="1"/>
  <c r="A2193" i="1"/>
  <c r="A2026" i="1"/>
  <c r="A1688" i="1"/>
  <c r="A1702" i="1"/>
  <c r="A371" i="1"/>
  <c r="A216" i="1"/>
  <c r="A1667" i="1"/>
  <c r="A841" i="1"/>
  <c r="A2147" i="1"/>
  <c r="A1454" i="1"/>
  <c r="A2225" i="1"/>
  <c r="A2218" i="1"/>
  <c r="A1709" i="1"/>
  <c r="A1687" i="1"/>
  <c r="A1918" i="1"/>
  <c r="A1936" i="1"/>
  <c r="A1432" i="1"/>
  <c r="A1140" i="1"/>
  <c r="A1928" i="1"/>
  <c r="A2182" i="1"/>
  <c r="A1768" i="1"/>
  <c r="A1448" i="1"/>
  <c r="A2258" i="1"/>
  <c r="A1895" i="1"/>
  <c r="A1930" i="1"/>
  <c r="A2131" i="1"/>
  <c r="A2230" i="1"/>
  <c r="A2254" i="1"/>
  <c r="A1726" i="1"/>
  <c r="A1801" i="1"/>
  <c r="A1965" i="1"/>
  <c r="A2129" i="1"/>
  <c r="A2257" i="1"/>
  <c r="A1221" i="1"/>
  <c r="A1488" i="1"/>
  <c r="A1824" i="1"/>
  <c r="A1825" i="1"/>
  <c r="A1865" i="1"/>
  <c r="A1826" i="1"/>
  <c r="A1525" i="1"/>
  <c r="A1317" i="1"/>
  <c r="A1060" i="1"/>
  <c r="A1584" i="1"/>
  <c r="A1357" i="1"/>
  <c r="A1551" i="1"/>
  <c r="A1560" i="1"/>
  <c r="A1061" i="1"/>
  <c r="A1496" i="1"/>
  <c r="A1827" i="1"/>
  <c r="A1977" i="1"/>
  <c r="A965" i="1"/>
  <c r="A2035" i="1"/>
  <c r="A1531" i="1"/>
  <c r="A1443" i="1"/>
  <c r="A272" i="1"/>
  <c r="A229" i="1"/>
  <c r="A662" i="1"/>
  <c r="A56" i="1"/>
  <c r="A1855" i="1"/>
  <c r="A187" i="1"/>
  <c r="A1155" i="1"/>
  <c r="A288" i="1"/>
  <c r="A1010" i="1"/>
  <c r="A1028" i="1"/>
  <c r="A663" i="1"/>
  <c r="A454" i="1"/>
  <c r="A1838" i="1"/>
  <c r="A139" i="1"/>
  <c r="A80" i="1"/>
  <c r="A74" i="1"/>
  <c r="A541" i="1"/>
  <c r="A131" i="1"/>
  <c r="A1376" i="1"/>
  <c r="A207" i="1"/>
  <c r="A1810" i="1"/>
  <c r="A123" i="1"/>
  <c r="A468" i="1"/>
  <c r="A311" i="1"/>
  <c r="A1506" i="1"/>
  <c r="A1475" i="1"/>
  <c r="A1440" i="1"/>
  <c r="A379" i="1"/>
  <c r="A1596" i="1"/>
  <c r="A1349" i="1"/>
  <c r="A1927" i="1"/>
  <c r="A1631" i="1"/>
  <c r="A1269" i="1"/>
  <c r="A1001" i="1"/>
  <c r="A26" i="1"/>
  <c r="A122" i="1"/>
  <c r="A644" i="1"/>
  <c r="A36" i="1"/>
  <c r="A1006" i="1"/>
  <c r="A674" i="1"/>
  <c r="A1042" i="1"/>
  <c r="A1277" i="1"/>
  <c r="A1523" i="1"/>
  <c r="A1830" i="1"/>
  <c r="A1764" i="1"/>
  <c r="A1705" i="1"/>
  <c r="A1093" i="1"/>
  <c r="A936" i="1"/>
  <c r="A1513" i="1"/>
  <c r="A1589" i="1"/>
  <c r="A1629" i="1"/>
  <c r="A1588" i="1"/>
  <c r="A1959" i="1"/>
  <c r="A1974" i="1"/>
  <c r="A822" i="1"/>
  <c r="A1431" i="1"/>
  <c r="A910" i="1"/>
  <c r="A1014" i="1"/>
  <c r="A739" i="1"/>
  <c r="A618" i="1"/>
  <c r="A580" i="1"/>
  <c r="A619" i="1"/>
  <c r="A803" i="1"/>
  <c r="A1626" i="1"/>
  <c r="A1571" i="1"/>
  <c r="A1048" i="1"/>
  <c r="A1228" i="1"/>
  <c r="A991" i="1"/>
  <c r="A913" i="1"/>
  <c r="A1405" i="1"/>
  <c r="A1711" i="1"/>
  <c r="A1220" i="1"/>
  <c r="A1366" i="1"/>
  <c r="A597" i="1"/>
  <c r="A427" i="1"/>
  <c r="A1459" i="1"/>
  <c r="A1328" i="1"/>
  <c r="A1777" i="1"/>
  <c r="A1524" i="1"/>
  <c r="A752" i="1"/>
  <c r="A1302" i="1"/>
  <c r="A1281" i="1"/>
  <c r="A1416" i="1"/>
  <c r="A1780" i="1"/>
  <c r="A608" i="1"/>
  <c r="A1268" i="1"/>
  <c r="A889" i="1"/>
  <c r="A873" i="1"/>
  <c r="A1323" i="1"/>
  <c r="A609" i="1"/>
  <c r="A1279" i="1"/>
  <c r="A808" i="1"/>
  <c r="A1822" i="1"/>
  <c r="A1774" i="1"/>
  <c r="A1341" i="1"/>
  <c r="A1701" i="1"/>
  <c r="A2180" i="1"/>
  <c r="A1342" i="1"/>
  <c r="A1445" i="1"/>
  <c r="A1436" i="1"/>
  <c r="A612" i="1"/>
  <c r="A1514" i="1"/>
  <c r="A1218" i="1"/>
  <c r="A1039" i="1"/>
  <c r="A615" i="1"/>
  <c r="A616" i="1"/>
  <c r="A1254" i="1"/>
  <c r="A635" i="1"/>
  <c r="A1611" i="1"/>
  <c r="A765" i="1"/>
  <c r="A723" i="1"/>
  <c r="A1304" i="1"/>
  <c r="A941" i="1"/>
  <c r="A994" i="1"/>
  <c r="A1280" i="1"/>
  <c r="A1023" i="1"/>
  <c r="A995" i="1"/>
  <c r="A694" i="1"/>
  <c r="A761" i="1"/>
  <c r="A695" i="1"/>
  <c r="A788" i="1"/>
  <c r="A975" i="1"/>
  <c r="A1138" i="1"/>
  <c r="A268" i="1"/>
  <c r="A1289" i="1"/>
  <c r="A1368" i="1"/>
  <c r="A942" i="1"/>
  <c r="A890" i="1"/>
  <c r="A943" i="1"/>
  <c r="A2096" i="1"/>
  <c r="A2049" i="1"/>
  <c r="A569" i="1"/>
  <c r="A93" i="1"/>
  <c r="A23" i="1"/>
  <c r="A246" i="1"/>
  <c r="A265" i="1"/>
  <c r="A289" i="1"/>
  <c r="A851" i="1"/>
  <c r="A383" i="1"/>
  <c r="A1187" i="1"/>
  <c r="A2213" i="1"/>
  <c r="A1149" i="1"/>
  <c r="A435" i="1"/>
  <c r="A324" i="1"/>
  <c r="A620" i="1"/>
  <c r="A685" i="1"/>
  <c r="A140" i="1"/>
  <c r="A1890" i="1"/>
  <c r="A1946" i="1"/>
  <c r="A1401" i="1"/>
  <c r="A2080" i="1"/>
  <c r="A89" i="1"/>
  <c r="A524" i="1"/>
  <c r="A570" i="1"/>
  <c r="A1119" i="1"/>
  <c r="A573" i="1"/>
  <c r="A415" i="1"/>
  <c r="A756" i="1"/>
  <c r="A1632" i="1"/>
  <c r="A1410" i="1"/>
  <c r="A228" i="1"/>
  <c r="A188" i="1"/>
  <c r="A484" i="1"/>
  <c r="A133" i="1"/>
  <c r="A1760" i="1"/>
  <c r="A1856" i="1"/>
  <c r="A1923" i="1"/>
  <c r="A1170" i="1"/>
  <c r="A867" i="1"/>
  <c r="A559" i="1"/>
  <c r="A979" i="1"/>
  <c r="A214" i="1"/>
  <c r="A2241" i="1"/>
  <c r="A645" i="1"/>
  <c r="A915" i="1"/>
  <c r="A551" i="1"/>
  <c r="A1883" i="1"/>
  <c r="A1662" i="1"/>
  <c r="A871" i="1"/>
  <c r="A189" i="1"/>
  <c r="A1065" i="1"/>
  <c r="A94" i="1"/>
  <c r="A1986" i="1"/>
  <c r="A1507" i="1"/>
  <c r="A868" i="1"/>
  <c r="A406" i="1"/>
  <c r="A408" i="1"/>
  <c r="A453" i="1"/>
  <c r="A513" i="1"/>
  <c r="A535" i="1"/>
  <c r="A325" i="1"/>
  <c r="A544" i="1"/>
  <c r="A869" i="1"/>
  <c r="A167" i="1"/>
  <c r="A1354" i="1"/>
  <c r="A1843" i="1"/>
  <c r="A1447" i="1"/>
  <c r="A351" i="1"/>
  <c r="A60" i="1"/>
  <c r="A600" i="1"/>
  <c r="A1143" i="1"/>
  <c r="A2022" i="1"/>
  <c r="A2063" i="1"/>
  <c r="A1389" i="1"/>
  <c r="A299" i="1"/>
  <c r="A85" i="1"/>
  <c r="A326" i="1"/>
  <c r="A987" i="1"/>
  <c r="A1806" i="1"/>
  <c r="A1664" i="1"/>
  <c r="A1610" i="1"/>
  <c r="A1710" i="1"/>
  <c r="A1817" i="1"/>
  <c r="A999" i="1"/>
  <c r="A201" i="1"/>
  <c r="A1693" i="1"/>
  <c r="A1594" i="1"/>
  <c r="A854" i="1"/>
  <c r="A1101" i="1"/>
  <c r="A1351" i="1"/>
  <c r="A971" i="1"/>
  <c r="A1295" i="1"/>
  <c r="A1434" i="1"/>
  <c r="A1024" i="1"/>
  <c r="A1472" i="1"/>
  <c r="A802" i="1"/>
  <c r="A1444" i="1"/>
  <c r="A1112" i="1"/>
  <c r="A1278" i="1"/>
  <c r="A1127" i="1"/>
  <c r="A1053" i="1"/>
  <c r="A845" i="1"/>
  <c r="A779" i="1"/>
  <c r="A801" i="1"/>
  <c r="A1462" i="1"/>
  <c r="A1458" i="1"/>
  <c r="A1381" i="1"/>
  <c r="A1274" i="1"/>
  <c r="A952" i="1"/>
  <c r="A1000" i="1"/>
  <c r="A374" i="1"/>
  <c r="A1668" i="1"/>
  <c r="A1018" i="1"/>
  <c r="A1358" i="1"/>
  <c r="A1807" i="1"/>
  <c r="A637" i="1"/>
  <c r="A652" i="1"/>
  <c r="A628" i="1"/>
  <c r="A895" i="1"/>
  <c r="A79" i="1"/>
  <c r="A1522" i="1"/>
  <c r="A2069" i="1"/>
  <c r="A2010" i="1"/>
  <c r="A1608" i="1"/>
  <c r="A1377" i="1"/>
  <c r="A1339" i="1"/>
  <c r="A2190" i="1"/>
  <c r="A160" i="1"/>
  <c r="A809" i="1"/>
  <c r="A1019" i="1"/>
  <c r="A1144" i="1"/>
  <c r="A1267" i="1"/>
  <c r="A1384" i="1"/>
  <c r="A1747" i="1"/>
  <c r="A1863" i="1"/>
  <c r="A1995" i="1"/>
  <c r="A1680" i="1"/>
  <c r="A1450" i="1"/>
  <c r="A1395" i="1"/>
  <c r="A2137" i="1"/>
  <c r="A2157" i="1"/>
  <c r="A2158" i="1"/>
  <c r="A2036" i="1"/>
  <c r="A2110" i="1"/>
  <c r="A2017" i="1"/>
  <c r="A2083" i="1"/>
  <c r="A2138" i="1"/>
  <c r="A2058" i="1"/>
  <c r="A530" i="1"/>
  <c r="A1683" i="1"/>
  <c r="A1877" i="1"/>
  <c r="A1476" i="1"/>
  <c r="A1329" i="1"/>
  <c r="A2016" i="1"/>
  <c r="A421" i="1"/>
  <c r="A1499" i="1"/>
  <c r="A1530" i="1"/>
  <c r="A2143" i="1"/>
  <c r="A622" i="1"/>
  <c r="A161" i="1"/>
  <c r="A1013" i="1"/>
  <c r="A1233" i="1"/>
  <c r="A574" i="1"/>
  <c r="A1935" i="1"/>
  <c r="A818" i="1"/>
  <c r="A178" i="1"/>
  <c r="A601" i="1"/>
  <c r="A32" i="1"/>
  <c r="A108" i="1"/>
  <c r="A327" i="1"/>
  <c r="A95" i="1"/>
  <c r="A82" i="1"/>
  <c r="A61" i="1"/>
  <c r="A247" i="1"/>
  <c r="A1109" i="1"/>
  <c r="A1510" i="1"/>
  <c r="A2246" i="1"/>
  <c r="A2311" i="1"/>
  <c r="A1564" i="1"/>
  <c r="A1141" i="1"/>
  <c r="A2296" i="1"/>
  <c r="A1690" i="1"/>
  <c r="A1847" i="1"/>
  <c r="A2141" i="1"/>
  <c r="A2109" i="1"/>
  <c r="A2142" i="1"/>
  <c r="A2105" i="1"/>
  <c r="A2106" i="1"/>
  <c r="A2079" i="1"/>
  <c r="A2107" i="1"/>
  <c r="A2264" i="1"/>
  <c r="A2265" i="1"/>
  <c r="A886" i="1"/>
  <c r="A859" i="1"/>
  <c r="A141" i="1"/>
  <c r="A445" i="1"/>
  <c r="A1145" i="1"/>
  <c r="A858" i="1"/>
  <c r="A493" i="1"/>
  <c r="A1333" i="1"/>
  <c r="A691" i="1"/>
  <c r="A671" i="1"/>
  <c r="A451" i="1"/>
  <c r="A846" i="1"/>
  <c r="A908" i="1"/>
  <c r="A537" i="1"/>
  <c r="A1613" i="1"/>
  <c r="A1213" i="1"/>
  <c r="A1108" i="1"/>
  <c r="A1239" i="1"/>
  <c r="A1340" i="1"/>
  <c r="A1008" i="1"/>
  <c r="A1375" i="1"/>
  <c r="A653" i="1"/>
  <c r="A1245" i="1"/>
  <c r="A900" i="1"/>
  <c r="A2244" i="1"/>
  <c r="A1840" i="1"/>
  <c r="A1533" i="1"/>
  <c r="A1650" i="1"/>
  <c r="A1651" i="1"/>
  <c r="A1614" i="1"/>
  <c r="A1343" i="1"/>
  <c r="A1738" i="1"/>
  <c r="A1544" i="1"/>
  <c r="A2220" i="1"/>
  <c r="A1939" i="1"/>
  <c r="A1742" i="1"/>
  <c r="A1790" i="1"/>
  <c r="A2175" i="1"/>
  <c r="A1962" i="1"/>
  <c r="A545" i="1"/>
  <c r="A1071" i="1"/>
  <c r="A1208" i="1"/>
  <c r="A1418" i="1"/>
  <c r="A1554" i="1"/>
  <c r="A1309" i="1"/>
  <c r="A1330" i="1"/>
  <c r="A1250" i="1"/>
  <c r="A905" i="1"/>
  <c r="A1841" i="1"/>
  <c r="A1455" i="1"/>
  <c r="A1870" i="1"/>
  <c r="A1762" i="1"/>
  <c r="A2051" i="1"/>
  <c r="A1511" i="1"/>
  <c r="A1941" i="1"/>
  <c r="A1464" i="1"/>
  <c r="A1902" i="1"/>
  <c r="A1940" i="1"/>
  <c r="A1751" i="1"/>
  <c r="A1573" i="1"/>
  <c r="A1752" i="1"/>
  <c r="A1864" i="1"/>
  <c r="A1891" i="1"/>
  <c r="A1312" i="1"/>
  <c r="A1808" i="1"/>
  <c r="A1919" i="1"/>
  <c r="A1712" i="1"/>
  <c r="A1862" i="1"/>
  <c r="A1512" i="1"/>
  <c r="A1561" i="1"/>
  <c r="A1604" i="1"/>
  <c r="A1633" i="1"/>
  <c r="A542" i="1"/>
  <c r="A1182" i="1"/>
  <c r="A988" i="1"/>
  <c r="A1029" i="1"/>
  <c r="A2185" i="1"/>
  <c r="A1874" i="1"/>
  <c r="A1791" i="1"/>
  <c r="A1469" i="1"/>
  <c r="A1566" i="1"/>
  <c r="A1634" i="1"/>
  <c r="A774" i="1"/>
  <c r="A1590" i="1"/>
  <c r="A629" i="1"/>
  <c r="A701" i="1"/>
  <c r="A1924" i="1"/>
  <c r="A1848" i="1"/>
  <c r="A1370" i="1"/>
  <c r="A42" i="1"/>
  <c r="A1030" i="1"/>
  <c r="A757" i="1"/>
  <c r="A686" i="1"/>
  <c r="A1467" i="1"/>
  <c r="A1347" i="1"/>
  <c r="A2280" i="1"/>
  <c r="A1784" i="1"/>
  <c r="A970" i="1"/>
  <c r="A1882" i="1"/>
  <c r="A1237" i="1"/>
  <c r="A306" i="1"/>
  <c r="A966" i="1"/>
  <c r="A443" i="1"/>
  <c r="A540" i="1"/>
  <c r="A1077" i="1"/>
  <c r="A712" i="1"/>
  <c r="A675" i="1"/>
  <c r="A1744" i="1"/>
  <c r="A1643" i="1"/>
  <c r="A560" i="1"/>
  <c r="A303" i="1"/>
  <c r="A1081" i="1"/>
  <c r="A1066" i="1"/>
  <c r="A1073" i="1"/>
  <c r="A1150" i="1"/>
  <c r="A1072" i="1"/>
  <c r="A1299" i="1"/>
  <c r="A1240" i="1"/>
  <c r="A1241" i="1"/>
  <c r="A1171" i="1"/>
  <c r="A1979" i="1"/>
  <c r="A1732" i="1"/>
  <c r="A75" i="1"/>
  <c r="A1234" i="1"/>
  <c r="A352" i="1"/>
  <c r="A1417" i="1"/>
  <c r="A2007" i="1"/>
  <c r="A1725" i="1"/>
  <c r="A2060" i="1"/>
  <c r="A2044" i="1"/>
  <c r="A1911" i="1"/>
  <c r="A1813" i="1"/>
  <c r="A1286" i="1"/>
  <c r="A1423" i="1"/>
  <c r="A2174" i="1"/>
  <c r="A2121" i="1"/>
  <c r="A1600" i="1"/>
  <c r="A384" i="1"/>
  <c r="A2039" i="1"/>
  <c r="A1616" i="1"/>
  <c r="A1931" i="1"/>
  <c r="A290" i="1"/>
  <c r="A2263" i="1"/>
  <c r="A587" i="1"/>
  <c r="A1003" i="1"/>
  <c r="A1713" i="1"/>
  <c r="A2098" i="1"/>
  <c r="A2099" i="1"/>
  <c r="A2056" i="1"/>
  <c r="A2149" i="1"/>
  <c r="A1291" i="1"/>
  <c r="A1516" i="1"/>
  <c r="A1534" i="1"/>
  <c r="A1655" i="1"/>
  <c r="A588" i="1"/>
  <c r="A1929" i="1"/>
  <c r="A2070" i="1"/>
  <c r="A1151" i="1"/>
  <c r="A1226" i="1"/>
  <c r="A2154" i="1"/>
  <c r="A2128" i="1"/>
  <c r="A1331" i="1"/>
  <c r="A2047" i="1"/>
  <c r="A897" i="1"/>
  <c r="A1176" i="1"/>
  <c r="A386" i="1"/>
  <c r="A1179" i="1"/>
  <c r="A1658" i="1"/>
  <c r="A1194" i="1"/>
  <c r="A721" i="1"/>
  <c r="A222" i="1"/>
  <c r="A399" i="1"/>
  <c r="A319" i="1"/>
  <c r="A343" i="1"/>
  <c r="A162" i="1"/>
  <c r="A602" i="1"/>
  <c r="A57" i="1"/>
  <c r="A469" i="1"/>
  <c r="A1262" i="1"/>
  <c r="A436" i="1"/>
  <c r="A248" i="1"/>
  <c r="A1837" i="1"/>
  <c r="A254" i="1"/>
  <c r="A115" i="1"/>
  <c r="A949" i="1"/>
  <c r="A1235" i="1"/>
  <c r="A2159" i="1"/>
  <c r="A1920" i="1"/>
  <c r="A1456" i="1"/>
  <c r="A677" i="1"/>
  <c r="A63" i="1"/>
  <c r="A1867" i="1"/>
  <c r="A1716" i="1"/>
  <c r="A1833" i="1"/>
  <c r="A395" i="1"/>
  <c r="A2292" i="1"/>
  <c r="A1975" i="1"/>
  <c r="A62" i="1"/>
  <c r="A1096" i="1"/>
  <c r="A1350" i="1"/>
  <c r="A142" i="1"/>
  <c r="A1110" i="1"/>
  <c r="A1222" i="1"/>
  <c r="A143" i="1"/>
  <c r="A96" i="1"/>
  <c r="A190" i="1"/>
  <c r="A656" i="1"/>
  <c r="A309" i="1"/>
  <c r="A291" i="1"/>
  <c r="A227" i="1"/>
  <c r="A230" i="1"/>
  <c r="A114" i="1"/>
  <c r="A1172" i="1"/>
  <c r="A1669" i="1"/>
  <c r="A646" i="1"/>
  <c r="A525" i="1"/>
  <c r="A861" i="1"/>
  <c r="A894" i="1"/>
  <c r="A1266" i="1"/>
  <c r="A1994" i="1"/>
  <c r="A702" i="1"/>
  <c r="A260" i="1"/>
  <c r="A223" i="1"/>
  <c r="A589" i="1"/>
  <c r="A404" i="1"/>
  <c r="A647" i="1"/>
  <c r="A1270" i="1"/>
  <c r="A472" i="1"/>
  <c r="A297" i="1"/>
  <c r="A437" i="1"/>
  <c r="A236" i="1"/>
  <c r="A640" i="1"/>
  <c r="A912" i="1"/>
  <c r="A1035" i="1"/>
  <c r="A312" i="1"/>
  <c r="A1733" i="1"/>
  <c r="A1696" i="1"/>
  <c r="A1336" i="1"/>
  <c r="A1097" i="1"/>
  <c r="A790" i="1"/>
  <c r="A462" i="1"/>
  <c r="A613" i="1"/>
  <c r="A1085" i="1"/>
  <c r="A758" i="1"/>
  <c r="A1031" i="1"/>
  <c r="A1004" i="1"/>
  <c r="A1005" i="1"/>
  <c r="A163" i="1"/>
  <c r="A117" i="1"/>
  <c r="A67" i="1"/>
  <c r="A387" i="1"/>
  <c r="A2066" i="1"/>
  <c r="A16" i="1"/>
  <c r="A510" i="1"/>
  <c r="A511" i="1"/>
  <c r="A144" i="1"/>
  <c r="A1067" i="1"/>
  <c r="A1046" i="1"/>
  <c r="A1107" i="1"/>
  <c r="A906" i="1"/>
  <c r="A1251" i="1"/>
  <c r="A549" i="1"/>
  <c r="A1038" i="1"/>
  <c r="A191" i="1"/>
  <c r="A192" i="1"/>
  <c r="A353" i="1"/>
  <c r="A759" i="1"/>
  <c r="A2011" i="1"/>
  <c r="A583" i="1"/>
  <c r="A584" i="1"/>
  <c r="A1292" i="1"/>
  <c r="A1402" i="1"/>
  <c r="A1899" i="1"/>
  <c r="A463" i="1"/>
  <c r="A2112" i="1"/>
  <c r="A842" i="1"/>
  <c r="A603" i="1"/>
  <c r="A224" i="1"/>
  <c r="A225" i="1"/>
  <c r="A333" i="1"/>
  <c r="A2155" i="1"/>
  <c r="A1892" i="1"/>
  <c r="A1577" i="1"/>
  <c r="A1062" i="1"/>
  <c r="A531" i="1"/>
  <c r="A1660" i="1"/>
  <c r="A1991" i="1"/>
  <c r="A1545" i="1"/>
  <c r="A1419" i="1"/>
  <c r="A986" i="1"/>
  <c r="A1163" i="1"/>
  <c r="A1296" i="1"/>
  <c r="A1041" i="1"/>
  <c r="A1753" i="1"/>
  <c r="A1535" i="1"/>
  <c r="A1758" i="1"/>
  <c r="A1706" i="1"/>
  <c r="A810" i="1"/>
  <c r="A2214" i="1"/>
  <c r="A2067" i="1"/>
  <c r="A2100" i="1"/>
  <c r="A2294" i="1"/>
  <c r="A1846" i="1"/>
  <c r="A732" i="1"/>
  <c r="A2212" i="1"/>
  <c r="A2133" i="1"/>
  <c r="A2015" i="1"/>
  <c r="A2233" i="1"/>
  <c r="A2291" i="1"/>
  <c r="A2256" i="1"/>
  <c r="A2151" i="1"/>
  <c r="A1258" i="1"/>
  <c r="A2113" i="1"/>
  <c r="A1352" i="1"/>
  <c r="A1353" i="1"/>
  <c r="A2145" i="1"/>
  <c r="A1745" i="1"/>
  <c r="A1785" i="1"/>
  <c r="A1721" i="1"/>
  <c r="A1834" i="1"/>
  <c r="A1835" i="1"/>
  <c r="A1836" i="1"/>
  <c r="A2156" i="1"/>
  <c r="A1921" i="1"/>
  <c r="A2125" i="1"/>
  <c r="A1659" i="1"/>
  <c r="A1337" i="1"/>
  <c r="A1900" i="1"/>
  <c r="A2081" i="1"/>
  <c r="A512" i="1"/>
  <c r="A497" i="1"/>
  <c r="A641" i="1"/>
  <c r="A2181" i="1"/>
  <c r="A2040" i="1"/>
  <c r="A922" i="1"/>
  <c r="A1857" i="1"/>
  <c r="A2252" i="1"/>
  <c r="A2071" i="1"/>
  <c r="A2164" i="1"/>
  <c r="A2209" i="1"/>
  <c r="A1484" i="1"/>
  <c r="A2261" i="1"/>
  <c r="A1873" i="1"/>
  <c r="A1723" i="1"/>
  <c r="A2287" i="1"/>
  <c r="A1133" i="1"/>
  <c r="A372" i="1"/>
  <c r="A1449" i="1"/>
  <c r="A843" i="1"/>
  <c r="A741" i="1"/>
  <c r="A742" i="1"/>
  <c r="A743" i="1"/>
  <c r="A744" i="1"/>
  <c r="A745" i="1"/>
  <c r="A2171" i="1"/>
  <c r="A746" i="1"/>
  <c r="A747" i="1"/>
  <c r="A2219" i="1"/>
  <c r="A2189" i="1"/>
  <c r="A561" i="1"/>
  <c r="A145" i="1"/>
  <c r="A875" i="1"/>
  <c r="A2192" i="1"/>
  <c r="A784" i="1"/>
  <c r="A575" i="1"/>
  <c r="A2003" i="1"/>
  <c r="A1505" i="1"/>
  <c r="A12" i="1"/>
  <c r="A1565" i="1"/>
  <c r="A760" i="1"/>
  <c r="A2228" i="1"/>
  <c r="A328" i="1"/>
  <c r="A1120" i="1"/>
  <c r="A923" i="1"/>
  <c r="A901" i="1"/>
  <c r="A241" i="1"/>
  <c r="A500" i="1"/>
  <c r="A1123" i="1"/>
  <c r="A1428" i="1"/>
  <c r="A231" i="1"/>
  <c r="A1708" i="1"/>
  <c r="A68" i="1"/>
  <c r="A193" i="1"/>
  <c r="A356" i="1"/>
  <c r="A989" i="1"/>
  <c r="A990" i="1"/>
  <c r="A48" i="1"/>
  <c r="A582" i="1"/>
  <c r="A2262" i="1"/>
  <c r="A1217" i="1"/>
  <c r="A1624" i="1"/>
  <c r="A1411" i="1"/>
  <c r="A1737" i="1"/>
  <c r="A832" i="1"/>
  <c r="A1748" i="1"/>
  <c r="A2234" i="1"/>
  <c r="A924" i="1"/>
  <c r="A581" i="1"/>
  <c r="A606" i="1"/>
  <c r="A785" i="1"/>
  <c r="A872" i="1"/>
  <c r="A2023" i="1"/>
  <c r="A269" i="1"/>
  <c r="A2217" i="1"/>
  <c r="A329" i="1"/>
  <c r="A1050" i="1"/>
  <c r="A1125" i="1"/>
  <c r="A37" i="1"/>
  <c r="A341" i="1"/>
  <c r="A1460" i="1"/>
  <c r="A2054" i="1"/>
  <c r="A2198" i="1"/>
  <c r="A880" i="1"/>
  <c r="A1084" i="1"/>
  <c r="A778" i="1"/>
  <c r="A377" i="1"/>
  <c r="A1173" i="1"/>
  <c r="A590" i="1"/>
  <c r="A876" i="1"/>
  <c r="A956" i="1"/>
  <c r="A925" i="1"/>
  <c r="A1788" i="1"/>
  <c r="A1215" i="1"/>
  <c r="A204" i="1"/>
  <c r="A680" i="1"/>
  <c r="A960" i="1"/>
  <c r="A277" i="1"/>
  <c r="A836" i="1"/>
  <c r="A1378" i="1"/>
  <c r="A1283" i="1"/>
  <c r="A1689" i="1"/>
  <c r="A1670" i="1"/>
  <c r="A2306" i="1"/>
  <c r="A447" i="1"/>
  <c r="A928" i="1"/>
  <c r="A1209" i="1"/>
  <c r="A2183" i="1"/>
  <c r="A2104" i="1"/>
  <c r="A703" i="1"/>
  <c r="A2019" i="1"/>
  <c r="A1983" i="1"/>
  <c r="A577" i="1"/>
  <c r="A819" i="1"/>
  <c r="A617" i="1"/>
  <c r="A2114" i="1"/>
  <c r="A1214" i="1"/>
  <c r="A38" i="1"/>
  <c r="A1275" i="1"/>
  <c r="A2285" i="1"/>
  <c r="A1300" i="1"/>
  <c r="A1315" i="1"/>
  <c r="A930" i="1"/>
  <c r="A1294" i="1"/>
  <c r="A1344" i="1"/>
  <c r="A1412" i="1"/>
  <c r="A1463" i="1"/>
  <c r="A1569" i="1"/>
  <c r="A1570" i="1"/>
  <c r="A1422" i="1"/>
  <c r="A1694" i="1"/>
  <c r="A1518" i="1"/>
  <c r="A1605" i="1"/>
  <c r="A1559" i="1"/>
  <c r="A1749" i="1"/>
  <c r="A1581" i="1"/>
  <c r="A1639" i="1"/>
  <c r="A1558" i="1"/>
  <c r="A1654" i="1"/>
  <c r="A1621" i="1"/>
  <c r="A1698" i="1"/>
  <c r="A1500" i="1"/>
  <c r="A1809" i="1"/>
  <c r="A593" i="1"/>
  <c r="A1722" i="1"/>
  <c r="A498" i="1"/>
  <c r="A1686" i="1"/>
  <c r="A1679" i="1"/>
  <c r="A1727" i="1"/>
  <c r="A1792" i="1"/>
  <c r="A1901" i="1"/>
  <c r="A1797" i="1"/>
  <c r="A1871" i="1"/>
  <c r="A1910" i="1"/>
  <c r="A2115" i="1"/>
  <c r="A1470" i="1"/>
  <c r="A664" i="1"/>
  <c r="A704" i="1"/>
  <c r="A2314" i="1"/>
  <c r="A2072" i="1"/>
  <c r="A1047" i="1"/>
  <c r="A1956" i="1"/>
  <c r="A1845" i="1"/>
  <c r="A786" i="1"/>
  <c r="A648" i="1"/>
  <c r="A787" i="1"/>
  <c r="A929" i="1"/>
  <c r="A1332" i="1"/>
  <c r="A649" i="1"/>
  <c r="A1906" i="1"/>
  <c r="A1793" i="1"/>
  <c r="A1635" i="1"/>
  <c r="A479" i="1"/>
  <c r="A2073" i="1"/>
  <c r="A775" i="1"/>
  <c r="A2276" i="1"/>
  <c r="A2277" i="1"/>
  <c r="A2278" i="1"/>
  <c r="A2135" i="1"/>
  <c r="A292" i="1"/>
  <c r="A1287" i="1"/>
  <c r="A1398" i="1"/>
  <c r="A1032" i="1"/>
  <c r="A776" i="1"/>
  <c r="A856" i="1"/>
  <c r="A1539" i="1"/>
  <c r="A2122" i="1"/>
  <c r="A2200" i="1"/>
  <c r="A2076" i="1"/>
  <c r="A1069" i="1"/>
  <c r="A816" i="1"/>
  <c r="A1786" i="1"/>
  <c r="A2207" i="1"/>
  <c r="A2286" i="1"/>
  <c r="A2310" i="1"/>
  <c r="A1950" i="1"/>
  <c r="A2304" i="1"/>
  <c r="A197" i="1"/>
  <c r="A44" i="1"/>
  <c r="A7" i="1"/>
  <c r="A2" i="1"/>
  <c r="A3" i="1"/>
  <c r="A9" i="1"/>
  <c r="A870" i="1"/>
  <c r="A817" i="1"/>
  <c r="A124" i="1"/>
  <c r="A429" i="1"/>
  <c r="A852" i="1"/>
  <c r="A185" i="1"/>
  <c r="A754" i="1"/>
  <c r="A55" i="1"/>
  <c r="A438" i="1"/>
  <c r="A488" i="1"/>
  <c r="A253" i="1"/>
  <c r="A672" i="1"/>
  <c r="A1718" i="1"/>
  <c r="A1175" i="1"/>
  <c r="A274" i="1"/>
  <c r="A273" i="1"/>
  <c r="A8" i="1"/>
  <c r="A623" i="1"/>
  <c r="A31" i="1"/>
  <c r="A54" i="1"/>
  <c r="A81" i="1"/>
  <c r="A17" i="1"/>
  <c r="A158" i="1"/>
  <c r="A196" i="1"/>
  <c r="A719" i="1"/>
  <c r="A320" i="1"/>
  <c r="A1126" i="1"/>
  <c r="A181" i="1"/>
  <c r="A1288" i="1"/>
  <c r="A1204" i="1"/>
  <c r="A2008" i="1"/>
  <c r="A97" i="1"/>
  <c r="A279" i="1"/>
  <c r="A507" i="1"/>
  <c r="A553" i="1"/>
  <c r="A572" i="1"/>
  <c r="A626" i="1"/>
  <c r="A715" i="1"/>
  <c r="A826" i="1"/>
  <c r="A950" i="1"/>
  <c r="A1002" i="1"/>
  <c r="A1098" i="1"/>
  <c r="A52" i="1"/>
  <c r="A1162" i="1"/>
  <c r="A562" i="1"/>
  <c r="A604" i="1"/>
  <c r="A650" i="1"/>
  <c r="A980" i="1"/>
  <c r="A1152" i="1"/>
  <c r="A509" i="1"/>
  <c r="A205" i="1"/>
  <c r="A914" i="1"/>
  <c r="A753" i="1"/>
  <c r="A1756" i="1"/>
  <c r="A1528" i="1"/>
  <c r="A1457" i="1"/>
  <c r="A1580" i="1"/>
  <c r="A1595" i="1"/>
  <c r="A1971" i="1"/>
  <c r="A1129" i="1"/>
  <c r="A1196" i="1"/>
  <c r="A2092" i="1"/>
  <c r="A506" i="1"/>
  <c r="A676" i="1"/>
  <c r="A690" i="1"/>
  <c r="A878" i="1"/>
  <c r="A940" i="1"/>
  <c r="A1326" i="1"/>
  <c r="A1461" i="1"/>
  <c r="A1253" i="1"/>
  <c r="A1775" i="1"/>
  <c r="A666" i="1"/>
  <c r="A119" i="1"/>
  <c r="A199" i="1"/>
  <c r="A110" i="1"/>
  <c r="A355" i="1"/>
  <c r="A508" i="1"/>
  <c r="A692" i="1"/>
  <c r="A770" i="1"/>
  <c r="A1021" i="1"/>
  <c r="A898" i="1"/>
  <c r="A834" i="1"/>
  <c r="A314" i="1"/>
  <c r="A543" i="1"/>
  <c r="A907" i="1"/>
  <c r="A1684" i="1"/>
  <c r="A937" i="1"/>
  <c r="A850" i="1"/>
  <c r="A64" i="1"/>
  <c r="A59" i="1"/>
  <c r="A88" i="1"/>
  <c r="A103" i="1"/>
  <c r="A126" i="1"/>
  <c r="A146" i="1"/>
  <c r="A173" i="1"/>
  <c r="A183" i="1"/>
  <c r="A902" i="1"/>
  <c r="A1186" i="1"/>
  <c r="A1190" i="1"/>
  <c r="A203" i="1"/>
  <c r="A369" i="1"/>
  <c r="A1056" i="1"/>
  <c r="A1557" i="1"/>
  <c r="A46" i="1"/>
  <c r="A489" i="1"/>
  <c r="A586" i="1"/>
  <c r="A1103" i="1"/>
  <c r="A1298" i="1"/>
  <c r="A1184" i="1"/>
  <c r="A1406" i="1"/>
  <c r="A1425" i="1"/>
  <c r="A1388" i="1"/>
  <c r="A1575" i="1"/>
  <c r="A1719" i="1"/>
  <c r="A1904" i="1"/>
  <c r="A1851" i="1"/>
  <c r="A1966" i="1"/>
  <c r="A1185" i="1"/>
  <c r="A1264" i="1"/>
  <c r="A1704" i="1"/>
  <c r="A829" i="1"/>
  <c r="A1641" i="1"/>
  <c r="A1988" i="1"/>
  <c r="A1914" i="1"/>
  <c r="A2018" i="1"/>
  <c r="A2153" i="1"/>
  <c r="A452" i="1"/>
  <c r="A168" i="1"/>
  <c r="A157" i="1"/>
  <c r="A733" i="1"/>
  <c r="A1905" i="1"/>
  <c r="A563" i="1"/>
  <c r="A793" i="1"/>
  <c r="A1859" i="1"/>
  <c r="A1860" i="1"/>
  <c r="A2050" i="1"/>
  <c r="A2134" i="1"/>
  <c r="A1164" i="1"/>
  <c r="A407" i="1"/>
  <c r="A1223" i="1"/>
  <c r="A1199" i="1"/>
  <c r="A1159" i="1"/>
  <c r="A1318" i="1"/>
  <c r="A336" i="1"/>
  <c r="A2024" i="1"/>
  <c r="A1816" i="1"/>
  <c r="A1811" i="1"/>
  <c r="A1592" i="1"/>
  <c r="A49" i="1"/>
  <c r="A1878" i="1"/>
  <c r="A1371" i="1"/>
  <c r="A1879" i="1"/>
  <c r="A984" i="1"/>
  <c r="A1313" i="1"/>
  <c r="A1493" i="1"/>
  <c r="A242" i="1"/>
  <c r="A362" i="1"/>
  <c r="A526" i="1"/>
  <c r="A428" i="1"/>
  <c r="A109" i="1"/>
  <c r="A166" i="1"/>
  <c r="A118" i="1"/>
  <c r="A90" i="1"/>
  <c r="A257" i="1"/>
  <c r="A71" i="1"/>
  <c r="A308" i="1"/>
  <c r="A409" i="1"/>
  <c r="A256" i="1"/>
  <c r="A104" i="1"/>
  <c r="A442" i="1"/>
  <c r="A24" i="1"/>
  <c r="A313" i="1"/>
  <c r="A632" i="1"/>
  <c r="A414" i="1"/>
  <c r="A610" i="1"/>
  <c r="A11" i="1"/>
  <c r="A789" i="1"/>
  <c r="A849" i="1"/>
  <c r="A625" i="1"/>
  <c r="A1051" i="1"/>
  <c r="A450" i="1"/>
  <c r="A896" i="1"/>
  <c r="A1130" i="1"/>
  <c r="A318" i="1"/>
  <c r="A884" i="1"/>
  <c r="A1665" i="1"/>
  <c r="A974" i="1"/>
  <c r="A1938" i="1"/>
  <c r="A2168" i="1"/>
  <c r="A359" i="1"/>
  <c r="A532" i="1"/>
  <c r="A762" i="1"/>
  <c r="A1068" i="1"/>
  <c r="A1282" i="1"/>
  <c r="A1369" i="1"/>
  <c r="A1761" i="1"/>
  <c r="A2150" i="1"/>
  <c r="A2223" i="1"/>
  <c r="A5" i="1"/>
  <c r="A4" i="1"/>
  <c r="A10" i="1"/>
  <c r="A455" i="1"/>
  <c r="A111" i="1"/>
  <c r="A77" i="1"/>
  <c r="A749" i="1"/>
  <c r="A170" i="1"/>
  <c r="A218" i="1"/>
  <c r="A389" i="1"/>
  <c r="A1052" i="1"/>
  <c r="A14" i="1"/>
  <c r="A883" i="1"/>
  <c r="A1224" i="1"/>
  <c r="A363" i="1"/>
  <c r="A1307" i="1"/>
  <c r="A882" i="1"/>
  <c r="A634" i="1"/>
  <c r="A888" i="1"/>
  <c r="A1609" i="1"/>
  <c r="A200" i="1"/>
  <c r="A1033" i="1"/>
  <c r="A470" i="1"/>
  <c r="A150" i="1"/>
  <c r="A1200" i="1"/>
  <c r="A1135" i="1"/>
  <c r="A1567" i="1"/>
  <c r="A1819" i="1"/>
  <c r="A307" i="1"/>
  <c r="A1338" i="1"/>
  <c r="A1225" i="1"/>
  <c r="A1086" i="1"/>
  <c r="A2005" i="1"/>
  <c r="A576" i="1"/>
  <c r="A687" i="1"/>
  <c r="A1579" i="1"/>
  <c r="A967" i="1"/>
  <c r="A968" i="1"/>
  <c r="A1011" i="1"/>
  <c r="A1012" i="1"/>
  <c r="A360" i="1"/>
  <c r="A1252" i="1"/>
  <c r="A334" i="1"/>
  <c r="A1546" i="1"/>
  <c r="A1212" i="1"/>
  <c r="A1158" i="1"/>
  <c r="A564" i="1"/>
  <c r="A267" i="1"/>
  <c r="A121" i="1"/>
  <c r="A636" i="1"/>
  <c r="A957" i="1"/>
  <c r="A782" i="1"/>
  <c r="A416" i="1"/>
  <c r="A1652" i="1"/>
  <c r="A2232" i="1"/>
  <c r="A365" i="1"/>
  <c r="A30" i="1"/>
  <c r="A630" i="1"/>
  <c r="A546" i="1"/>
  <c r="A710" i="1"/>
  <c r="A679" i="1"/>
  <c r="A992" i="1"/>
  <c r="A345" i="1"/>
  <c r="A152" i="1"/>
  <c r="A367" i="1"/>
  <c r="A1661" i="1"/>
  <c r="A638" i="1"/>
  <c r="A1562" i="1"/>
  <c r="A735" i="1"/>
  <c r="A605" i="1"/>
  <c r="A194" i="1"/>
  <c r="A529" i="1"/>
  <c r="A800" i="1"/>
  <c r="A1426" i="1"/>
  <c r="A1497" i="1"/>
  <c r="A815" i="1"/>
  <c r="A791" i="1"/>
  <c r="A667" i="1"/>
  <c r="A2094" i="1"/>
  <c r="A431" i="1"/>
  <c r="A926" i="1"/>
  <c r="A164" i="1"/>
  <c r="A1335" i="1"/>
  <c r="A591" i="1"/>
  <c r="A1521" i="1"/>
  <c r="A1433" i="1"/>
  <c r="A503" i="1"/>
  <c r="A275" i="1"/>
  <c r="A128" i="1"/>
  <c r="A1020" i="1"/>
  <c r="A176" i="1"/>
  <c r="A495" i="1"/>
  <c r="A536" i="1"/>
  <c r="A1246" i="1"/>
  <c r="A1022" i="1"/>
  <c r="A1297" i="1"/>
  <c r="A1316" i="1"/>
  <c r="A1082" i="1"/>
  <c r="A847" i="1"/>
  <c r="A25" i="1"/>
  <c r="A833" i="1"/>
  <c r="A1932" i="1"/>
  <c r="A344" i="1"/>
  <c r="A342" i="1"/>
  <c r="A504" i="1"/>
  <c r="A1782" i="1"/>
  <c r="A239" i="1"/>
  <c r="A1057" i="1"/>
  <c r="A1394" i="1"/>
  <c r="A1131" i="1"/>
  <c r="A1036" i="1"/>
  <c r="A1866" i="1"/>
  <c r="A1622" i="1"/>
  <c r="A857" i="1"/>
  <c r="A1105" i="1"/>
  <c r="A1106" i="1"/>
  <c r="A2078" i="1"/>
  <c r="A552" i="1"/>
  <c r="A1542" i="1"/>
  <c r="A1880" i="1"/>
  <c r="A1805" i="1"/>
  <c r="A1958" i="1"/>
  <c r="A2086" i="1"/>
  <c r="A1853" i="1"/>
  <c r="A1978" i="1"/>
  <c r="A2000" i="1"/>
  <c r="A1852" i="1"/>
  <c r="A1907" i="1"/>
  <c r="A1089" i="1"/>
  <c r="A1922" i="1"/>
  <c r="A1540" i="1"/>
  <c r="A527" i="1"/>
  <c r="A1803" i="1"/>
  <c r="A1893" i="1"/>
  <c r="A1527" i="1"/>
  <c r="A1396" i="1"/>
  <c r="A1319" i="1"/>
  <c r="A1379" i="1"/>
  <c r="A1984" i="1"/>
  <c r="A202" i="1"/>
  <c r="A43" i="1"/>
  <c r="A335" i="1"/>
  <c r="A40" i="1"/>
  <c r="A768" i="1"/>
  <c r="A177" i="1"/>
  <c r="A734" i="1"/>
  <c r="A844" i="1"/>
  <c r="A419" i="1"/>
  <c r="A528" i="1"/>
  <c r="A490" i="1"/>
  <c r="A740" i="1"/>
  <c r="A1076" i="1"/>
  <c r="A403" i="1"/>
  <c r="A148" i="1"/>
  <c r="A125" i="1"/>
  <c r="A1536" i="1"/>
  <c r="A1814" i="1"/>
  <c r="A1828" i="1"/>
  <c r="A1894" i="1"/>
  <c r="A714" i="1"/>
  <c r="A217" i="1"/>
  <c r="A213" i="1"/>
  <c r="A464" i="1"/>
  <c r="A293" i="1"/>
  <c r="A39" i="1"/>
  <c r="A467" i="1"/>
  <c r="A339" i="1"/>
  <c r="A270" i="1"/>
  <c r="A439" i="1"/>
  <c r="A373" i="1"/>
  <c r="A165" i="1"/>
  <c r="A669" i="1"/>
  <c r="A210" i="1"/>
  <c r="A777" i="1"/>
  <c r="A1482" i="1"/>
  <c r="A1555" i="1"/>
  <c r="A1153" i="1"/>
  <c r="A946" i="1"/>
  <c r="A705" i="1"/>
  <c r="A1612" i="1"/>
  <c r="A1656" i="1"/>
  <c r="A706" i="1"/>
  <c r="A707" i="1"/>
  <c r="A1372" i="1"/>
  <c r="A1881" i="1"/>
  <c r="A1985" i="1"/>
  <c r="A198" i="1"/>
  <c r="A1310" i="1"/>
  <c r="A655" i="1"/>
  <c r="A820" i="1"/>
  <c r="A2090" i="1"/>
  <c r="A1858" i="1"/>
  <c r="A1537" i="1"/>
  <c r="A1399" i="1"/>
  <c r="A2320" i="1"/>
  <c r="A2221" i="1"/>
  <c r="A2308" i="1"/>
  <c r="A2013" i="1"/>
  <c r="A1230" i="1"/>
  <c r="A1063" i="1"/>
  <c r="A2315" i="1"/>
  <c r="A1305" i="1"/>
  <c r="A1740" i="1"/>
  <c r="A2270" i="1"/>
  <c r="A1987" i="1"/>
  <c r="A2046" i="1"/>
  <c r="A1391" i="1"/>
  <c r="A2166" i="1"/>
  <c r="A1421" i="1"/>
  <c r="A2064" i="1"/>
  <c r="A2116" i="1"/>
  <c r="A2325" i="1"/>
  <c r="A1124" i="1"/>
  <c r="A2327" i="1"/>
  <c r="A2317" i="1"/>
  <c r="A1424" i="1"/>
  <c r="A1771" i="1"/>
  <c r="A1953" i="1"/>
  <c r="A1944" i="1"/>
  <c r="A1623" i="1"/>
  <c r="A2139" i="1"/>
  <c r="A2102" i="1"/>
  <c r="A1972" i="1"/>
  <c r="A1957" i="1"/>
  <c r="A2163" i="1"/>
  <c r="A2006" i="1"/>
  <c r="A2188" i="1"/>
  <c r="A1913" i="1"/>
  <c r="A1549" i="1"/>
  <c r="A1114" i="1"/>
  <c r="A2309" i="1"/>
  <c r="A1636" i="1"/>
  <c r="A1763" i="1"/>
  <c r="A2248" i="1"/>
  <c r="A263" i="1"/>
  <c r="A226" i="1"/>
  <c r="A294" i="1"/>
  <c r="A2300" i="1"/>
  <c r="A2273" i="1"/>
  <c r="A2186" i="1"/>
  <c r="A1798" i="1"/>
  <c r="A1799" i="1"/>
  <c r="A1800" i="1"/>
  <c r="A2295" i="1"/>
  <c r="A1489" i="1"/>
  <c r="A1490" i="1"/>
  <c r="A1491" i="1"/>
  <c r="A2307" i="1"/>
  <c r="A2118" i="1"/>
  <c r="A1174" i="1"/>
  <c r="A1442" i="1"/>
  <c r="A2211" i="1"/>
  <c r="A2002" i="1"/>
  <c r="A2303" i="1"/>
  <c r="A1617" i="1"/>
  <c r="A2281" i="1"/>
  <c r="A1601" i="1"/>
  <c r="A887" i="1"/>
  <c r="A1815" i="1"/>
  <c r="A1734" i="1"/>
  <c r="A2165" i="1"/>
  <c r="A2045" i="1"/>
  <c r="A1441" i="1"/>
  <c r="A934" i="1"/>
  <c r="A1556" i="1"/>
  <c r="A1543" i="1"/>
  <c r="A1645" i="1"/>
  <c r="A2075" i="1"/>
  <c r="A1909" i="1"/>
  <c r="A1663" i="1"/>
  <c r="A1359" i="1"/>
  <c r="A1707" i="1"/>
  <c r="A2059" i="1"/>
  <c r="A2203" i="1"/>
  <c r="A2117" i="1"/>
  <c r="A688" i="1"/>
  <c r="A1970" i="1"/>
  <c r="A1520" i="1"/>
  <c r="A1839" i="1"/>
  <c r="A1582" i="1"/>
  <c r="A821" i="1"/>
  <c r="A2061" i="1"/>
  <c r="A1676" i="1"/>
  <c r="A1154" i="1"/>
  <c r="A1121" i="1"/>
  <c r="A1122" i="1"/>
  <c r="A750" i="1"/>
  <c r="A781" i="1"/>
  <c r="A2191" i="1"/>
  <c r="A748" i="1"/>
  <c r="A830" i="1"/>
  <c r="A1034" i="1"/>
  <c r="A1064" i="1"/>
  <c r="A1183" i="1"/>
  <c r="A1043" i="1"/>
  <c r="A1320" i="1"/>
  <c r="A2162" i="1"/>
  <c r="A1640" i="1"/>
  <c r="A1574" i="1"/>
  <c r="A2222" i="1"/>
  <c r="A2057" i="1"/>
  <c r="A129" i="1"/>
  <c r="A2321" i="1"/>
  <c r="A1844" i="1"/>
  <c r="A1390" i="1"/>
  <c r="A33" i="1"/>
  <c r="A2025" i="1"/>
  <c r="A2293" i="1"/>
  <c r="A689" i="1"/>
  <c r="A255" i="1"/>
  <c r="A349" i="1"/>
  <c r="A2132" i="1"/>
  <c r="A505" i="1"/>
  <c r="A1992" i="1"/>
  <c r="A487" i="1"/>
  <c r="A2148" i="1"/>
  <c r="A2266" i="1"/>
  <c r="A1452" i="1"/>
  <c r="A1789" i="1"/>
  <c r="A1831" i="1"/>
  <c r="A1908" i="1"/>
  <c r="A724" i="1"/>
  <c r="A1480" i="1"/>
  <c r="A1236" i="1"/>
  <c r="A1227" i="1"/>
  <c r="A962" i="1"/>
  <c r="A1420" i="1"/>
  <c r="A1875" i="1"/>
  <c r="A1195" i="1"/>
  <c r="A2249" i="1"/>
  <c r="A149" i="1"/>
  <c r="A412" i="1"/>
  <c r="A184" i="1"/>
  <c r="A1134" i="1"/>
  <c r="A550" i="1"/>
  <c r="A2004" i="1"/>
  <c r="A2177" i="1"/>
  <c r="A2204" i="1"/>
  <c r="A1541" i="1"/>
  <c r="A2032" i="1"/>
  <c r="A2242" i="1"/>
  <c r="A385" i="1"/>
  <c r="A1750" i="1"/>
  <c r="A1606" i="1"/>
  <c r="A708" i="1"/>
  <c r="A1360" i="1"/>
  <c r="A1538" i="1"/>
  <c r="A1735" i="1"/>
  <c r="A304" i="1"/>
  <c r="A1714" i="1"/>
  <c r="A1637" i="1"/>
  <c r="A1772" i="1"/>
  <c r="A1325" i="1"/>
  <c r="A947" i="1"/>
  <c r="A1197" i="1"/>
  <c r="A1821" i="1"/>
  <c r="A939" i="1"/>
  <c r="A811" i="1"/>
  <c r="A693" i="1"/>
  <c r="A1365" i="1"/>
  <c r="A354" i="1"/>
  <c r="A417" i="1"/>
  <c r="A767" i="1"/>
  <c r="A565" i="1"/>
  <c r="A175" i="1"/>
  <c r="A1392" i="1"/>
  <c r="A1872" i="1"/>
  <c r="A1773" i="1"/>
  <c r="A1102" i="1"/>
  <c r="A1380" i="1"/>
  <c r="A457" i="1"/>
  <c r="A156" i="1"/>
  <c r="A1054" i="1"/>
  <c r="A1563" i="1"/>
  <c r="A1465" i="1"/>
  <c r="A2037" i="1"/>
  <c r="A251" i="1"/>
  <c r="A252" i="1"/>
  <c r="A316" i="1"/>
  <c r="A481" i="1"/>
  <c r="A1273" i="1"/>
  <c r="A1672" i="1"/>
  <c r="A2194" i="1"/>
  <c r="A1746" i="1"/>
  <c r="A1818" i="1"/>
  <c r="A2298" i="1"/>
  <c r="C2194" i="1"/>
  <c r="D2194" i="1"/>
  <c r="E2194" i="1"/>
  <c r="F2194" i="1"/>
  <c r="C1746" i="1"/>
  <c r="D1746" i="1"/>
  <c r="E1746" i="1"/>
  <c r="F1746" i="1"/>
  <c r="C1818" i="1"/>
  <c r="D1818" i="1"/>
  <c r="E1818" i="1"/>
  <c r="F1818" i="1"/>
  <c r="C2298" i="1"/>
  <c r="D2298" i="1"/>
  <c r="E2298" i="1"/>
  <c r="F2298" i="1"/>
  <c r="C1273" i="1"/>
  <c r="D1273" i="1"/>
  <c r="E1273" i="1"/>
  <c r="F1273" i="1"/>
  <c r="C1672" i="1"/>
  <c r="D1672" i="1"/>
  <c r="E1672" i="1"/>
  <c r="F1672" i="1"/>
  <c r="C251" i="1"/>
  <c r="D251" i="1"/>
  <c r="E251" i="1"/>
  <c r="F251" i="1"/>
  <c r="C252" i="1"/>
  <c r="D252" i="1"/>
  <c r="E252" i="1"/>
  <c r="F252" i="1"/>
  <c r="C316" i="1"/>
  <c r="D316" i="1"/>
  <c r="E316" i="1"/>
  <c r="F316" i="1"/>
  <c r="C481" i="1"/>
  <c r="D481" i="1"/>
  <c r="E481" i="1"/>
  <c r="F481" i="1"/>
  <c r="C1054" i="1"/>
  <c r="D1054" i="1"/>
  <c r="E1054" i="1"/>
  <c r="F1054" i="1"/>
  <c r="C1563" i="1"/>
  <c r="D1563" i="1"/>
  <c r="E1563" i="1"/>
  <c r="F1563" i="1"/>
  <c r="C1465" i="1"/>
  <c r="D1465" i="1"/>
  <c r="E1465" i="1"/>
  <c r="F1465" i="1"/>
  <c r="C2037" i="1"/>
  <c r="D2037" i="1"/>
  <c r="E2037" i="1"/>
  <c r="F2037" i="1"/>
  <c r="C1380" i="1"/>
  <c r="D1380" i="1"/>
  <c r="E1380" i="1"/>
  <c r="F1380" i="1"/>
  <c r="C457" i="1"/>
  <c r="D457" i="1"/>
  <c r="E457" i="1"/>
  <c r="F457" i="1"/>
  <c r="C156" i="1"/>
  <c r="D156" i="1"/>
  <c r="E156" i="1"/>
  <c r="F156" i="1"/>
  <c r="C1872" i="1"/>
  <c r="D1872" i="1"/>
  <c r="E1872" i="1"/>
  <c r="F1872" i="1"/>
  <c r="C1773" i="1"/>
  <c r="D1773" i="1"/>
  <c r="E1773" i="1"/>
  <c r="F1773" i="1"/>
  <c r="C1102" i="1"/>
  <c r="D1102" i="1"/>
  <c r="E1102" i="1"/>
  <c r="F1102" i="1"/>
  <c r="C1392" i="1"/>
  <c r="D1392" i="1"/>
  <c r="E1392" i="1"/>
  <c r="F1392" i="1"/>
  <c r="C175" i="1"/>
  <c r="D175" i="1"/>
  <c r="E175" i="1"/>
  <c r="F175" i="1"/>
  <c r="C565" i="1"/>
  <c r="D565" i="1"/>
  <c r="E565" i="1"/>
  <c r="F565" i="1"/>
  <c r="C1365" i="1"/>
  <c r="D1365" i="1"/>
  <c r="E1365" i="1"/>
  <c r="F1365" i="1"/>
  <c r="C354" i="1"/>
  <c r="D354" i="1"/>
  <c r="E354" i="1"/>
  <c r="F354" i="1"/>
  <c r="C417" i="1"/>
  <c r="D417" i="1"/>
  <c r="E417" i="1"/>
  <c r="F417" i="1"/>
  <c r="C767" i="1"/>
  <c r="D767" i="1"/>
  <c r="E767" i="1"/>
  <c r="F767" i="1"/>
  <c r="C693" i="1"/>
  <c r="D693" i="1"/>
  <c r="E693" i="1"/>
  <c r="F693" i="1"/>
  <c r="C1821" i="1"/>
  <c r="D1821" i="1"/>
  <c r="E1821" i="1"/>
  <c r="F1821" i="1"/>
  <c r="C939" i="1"/>
  <c r="D939" i="1"/>
  <c r="E939" i="1"/>
  <c r="F939" i="1"/>
  <c r="C811" i="1"/>
  <c r="D811" i="1"/>
  <c r="E811" i="1"/>
  <c r="F811" i="1"/>
  <c r="C947" i="1"/>
  <c r="D947" i="1"/>
  <c r="E947" i="1"/>
  <c r="F947" i="1"/>
  <c r="C1197" i="1"/>
  <c r="D1197" i="1"/>
  <c r="E1197" i="1"/>
  <c r="F1197" i="1"/>
  <c r="C1325" i="1"/>
  <c r="D1325" i="1"/>
  <c r="E1325" i="1"/>
  <c r="F1325" i="1"/>
  <c r="C1637" i="1"/>
  <c r="D1637" i="1"/>
  <c r="E1637" i="1"/>
  <c r="F1637" i="1"/>
  <c r="C1772" i="1"/>
  <c r="D1772" i="1"/>
  <c r="E1772" i="1"/>
  <c r="F1772" i="1"/>
  <c r="C304" i="1"/>
  <c r="D304" i="1"/>
  <c r="E304" i="1"/>
  <c r="F304" i="1"/>
  <c r="C1714" i="1"/>
  <c r="D1714" i="1"/>
  <c r="E1714" i="1"/>
  <c r="F1714" i="1"/>
  <c r="C708" i="1"/>
  <c r="D708" i="1"/>
  <c r="E708" i="1"/>
  <c r="F708" i="1"/>
  <c r="C1360" i="1"/>
  <c r="D1360" i="1"/>
  <c r="E1360" i="1"/>
  <c r="F1360" i="1"/>
  <c r="C1538" i="1"/>
  <c r="D1538" i="1"/>
  <c r="E1538" i="1"/>
  <c r="F1538" i="1"/>
  <c r="C1735" i="1"/>
  <c r="D1735" i="1"/>
  <c r="E1735" i="1"/>
  <c r="F1735" i="1"/>
  <c r="C385" i="1"/>
  <c r="D385" i="1"/>
  <c r="E385" i="1"/>
  <c r="F385" i="1"/>
  <c r="C1750" i="1"/>
  <c r="D1750" i="1"/>
  <c r="E1750" i="1"/>
  <c r="F1750" i="1"/>
  <c r="C1606" i="1"/>
  <c r="D1606" i="1"/>
  <c r="E1606" i="1"/>
  <c r="F1606" i="1"/>
  <c r="C1541" i="1"/>
  <c r="D1541" i="1"/>
  <c r="E1541" i="1"/>
  <c r="F1541" i="1"/>
  <c r="C2032" i="1"/>
  <c r="D2032" i="1"/>
  <c r="E2032" i="1"/>
  <c r="F2032" i="1"/>
  <c r="C2242" i="1"/>
  <c r="D2242" i="1"/>
  <c r="E2242" i="1"/>
  <c r="F2242" i="1"/>
  <c r="C2177" i="1"/>
  <c r="D2177" i="1"/>
  <c r="E2177" i="1"/>
  <c r="F2177" i="1"/>
  <c r="C2204" i="1"/>
  <c r="D2204" i="1"/>
  <c r="E2204" i="1"/>
  <c r="F2204" i="1"/>
  <c r="C2004" i="1"/>
  <c r="D2004" i="1"/>
  <c r="E2004" i="1"/>
  <c r="F2004" i="1"/>
  <c r="C1134" i="1"/>
  <c r="D1134" i="1"/>
  <c r="E1134" i="1"/>
  <c r="F1134" i="1"/>
  <c r="C550" i="1"/>
  <c r="D550" i="1"/>
  <c r="E550" i="1"/>
  <c r="F550" i="1"/>
  <c r="C1420" i="1"/>
  <c r="D1420" i="1"/>
  <c r="E1420" i="1"/>
  <c r="F1420" i="1"/>
  <c r="C1875" i="1"/>
  <c r="D1875" i="1"/>
  <c r="E1875" i="1"/>
  <c r="F1875" i="1"/>
  <c r="C1195" i="1"/>
  <c r="D1195" i="1"/>
  <c r="E1195" i="1"/>
  <c r="F1195" i="1"/>
  <c r="C2249" i="1"/>
  <c r="D2249" i="1"/>
  <c r="E2249" i="1"/>
  <c r="F2249" i="1"/>
  <c r="C149" i="1"/>
  <c r="D149" i="1"/>
  <c r="E149" i="1"/>
  <c r="F149" i="1"/>
  <c r="C412" i="1"/>
  <c r="D412" i="1"/>
  <c r="E412" i="1"/>
  <c r="F412" i="1"/>
  <c r="C184" i="1"/>
  <c r="D184" i="1"/>
  <c r="E184" i="1"/>
  <c r="F184" i="1"/>
  <c r="C1480" i="1"/>
  <c r="D1480" i="1"/>
  <c r="E1480" i="1"/>
  <c r="F1480" i="1"/>
  <c r="C1236" i="1"/>
  <c r="D1236" i="1"/>
  <c r="E1236" i="1"/>
  <c r="F1236" i="1"/>
  <c r="C1227" i="1"/>
  <c r="D1227" i="1"/>
  <c r="E1227" i="1"/>
  <c r="F1227" i="1"/>
  <c r="C962" i="1"/>
  <c r="D962" i="1"/>
  <c r="E962" i="1"/>
  <c r="F962" i="1"/>
  <c r="C1831" i="1"/>
  <c r="D1831" i="1"/>
  <c r="E1831" i="1"/>
  <c r="F1831" i="1"/>
  <c r="C1908" i="1"/>
  <c r="D1908" i="1"/>
  <c r="E1908" i="1"/>
  <c r="F1908" i="1"/>
  <c r="C724" i="1"/>
  <c r="D724" i="1"/>
  <c r="E724" i="1"/>
  <c r="F724" i="1"/>
  <c r="C2266" i="1"/>
  <c r="D2266" i="1"/>
  <c r="E2266" i="1"/>
  <c r="F2266" i="1"/>
  <c r="C1452" i="1"/>
  <c r="D1452" i="1"/>
  <c r="E1452" i="1"/>
  <c r="F1452" i="1"/>
  <c r="C1789" i="1"/>
  <c r="D1789" i="1"/>
  <c r="E1789" i="1"/>
  <c r="F1789" i="1"/>
  <c r="C689" i="1"/>
  <c r="D689" i="1"/>
  <c r="E689" i="1"/>
  <c r="F689" i="1"/>
  <c r="C255" i="1"/>
  <c r="D255" i="1"/>
  <c r="E255" i="1"/>
  <c r="F255" i="1"/>
  <c r="C349" i="1"/>
  <c r="D349" i="1"/>
  <c r="E349" i="1"/>
  <c r="F349" i="1"/>
  <c r="C2132" i="1"/>
  <c r="D2132" i="1"/>
  <c r="E2132" i="1"/>
  <c r="F2132" i="1"/>
  <c r="C505" i="1"/>
  <c r="D505" i="1"/>
  <c r="E505" i="1"/>
  <c r="F505" i="1"/>
  <c r="C1992" i="1"/>
  <c r="D1992" i="1"/>
  <c r="E1992" i="1"/>
  <c r="F1992" i="1"/>
  <c r="C487" i="1"/>
  <c r="D487" i="1"/>
  <c r="E487" i="1"/>
  <c r="F487" i="1"/>
  <c r="C2148" i="1"/>
  <c r="D2148" i="1"/>
  <c r="E2148" i="1"/>
  <c r="F2148" i="1"/>
  <c r="C2293" i="1"/>
  <c r="D2293" i="1"/>
  <c r="E2293" i="1"/>
  <c r="F2293" i="1"/>
  <c r="C33" i="1"/>
  <c r="D33" i="1"/>
  <c r="E33" i="1"/>
  <c r="F33" i="1"/>
  <c r="C2025" i="1"/>
  <c r="D2025" i="1"/>
  <c r="E2025" i="1"/>
  <c r="F2025" i="1"/>
  <c r="C129" i="1"/>
  <c r="D129" i="1"/>
  <c r="E129" i="1"/>
  <c r="F129" i="1"/>
  <c r="C2321" i="1"/>
  <c r="D2321" i="1"/>
  <c r="E2321" i="1"/>
  <c r="F2321" i="1"/>
  <c r="C1844" i="1"/>
  <c r="D1844" i="1"/>
  <c r="E1844" i="1"/>
  <c r="F1844" i="1"/>
  <c r="C1390" i="1"/>
  <c r="D1390" i="1"/>
  <c r="E1390" i="1"/>
  <c r="F1390" i="1"/>
  <c r="C1640" i="1"/>
  <c r="D1640" i="1"/>
  <c r="E1640" i="1"/>
  <c r="F1640" i="1"/>
  <c r="C1574" i="1"/>
  <c r="D1574" i="1"/>
  <c r="E1574" i="1"/>
  <c r="F1574" i="1"/>
  <c r="C2222" i="1"/>
  <c r="D2222" i="1"/>
  <c r="E2222" i="1"/>
  <c r="F2222" i="1"/>
  <c r="C2057" i="1"/>
  <c r="D2057" i="1"/>
  <c r="E2057" i="1"/>
  <c r="F2057" i="1"/>
  <c r="C1043" i="1"/>
  <c r="D1043" i="1"/>
  <c r="E1043" i="1"/>
  <c r="F1043" i="1"/>
  <c r="C1320" i="1"/>
  <c r="D1320" i="1"/>
  <c r="E1320" i="1"/>
  <c r="F1320" i="1"/>
  <c r="C2162" i="1"/>
  <c r="D2162" i="1"/>
  <c r="E2162" i="1"/>
  <c r="F2162" i="1"/>
  <c r="C748" i="1"/>
  <c r="D748" i="1"/>
  <c r="E748" i="1"/>
  <c r="F748" i="1"/>
  <c r="C830" i="1"/>
  <c r="D830" i="1"/>
  <c r="E830" i="1"/>
  <c r="F830" i="1"/>
  <c r="C1034" i="1"/>
  <c r="D1034" i="1"/>
  <c r="E1034" i="1"/>
  <c r="F1034" i="1"/>
  <c r="C1064" i="1"/>
  <c r="D1064" i="1"/>
  <c r="E1064" i="1"/>
  <c r="F1064" i="1"/>
  <c r="C1183" i="1"/>
  <c r="D1183" i="1"/>
  <c r="E1183" i="1"/>
  <c r="F1183" i="1"/>
  <c r="C2191" i="1"/>
  <c r="D2191" i="1"/>
  <c r="E2191" i="1"/>
  <c r="F2191" i="1"/>
  <c r="C1122" i="1"/>
  <c r="D1122" i="1"/>
  <c r="E1122" i="1"/>
  <c r="F1122" i="1"/>
  <c r="C750" i="1"/>
  <c r="D750" i="1"/>
  <c r="E750" i="1"/>
  <c r="F750" i="1"/>
  <c r="C781" i="1"/>
  <c r="D781" i="1"/>
  <c r="E781" i="1"/>
  <c r="F781" i="1"/>
  <c r="C1582" i="1"/>
  <c r="D1582" i="1"/>
  <c r="E1582" i="1"/>
  <c r="F1582" i="1"/>
  <c r="C821" i="1"/>
  <c r="D821" i="1"/>
  <c r="E821" i="1"/>
  <c r="F821" i="1"/>
  <c r="C2061" i="1"/>
  <c r="D2061" i="1"/>
  <c r="E2061" i="1"/>
  <c r="F2061" i="1"/>
  <c r="C1676" i="1"/>
  <c r="D1676" i="1"/>
  <c r="E1676" i="1"/>
  <c r="F1676" i="1"/>
  <c r="C1154" i="1"/>
  <c r="D1154" i="1"/>
  <c r="E1154" i="1"/>
  <c r="F1154" i="1"/>
  <c r="C1121" i="1"/>
  <c r="D1121" i="1"/>
  <c r="E1121" i="1"/>
  <c r="F1121" i="1"/>
  <c r="C1839" i="1"/>
  <c r="D1839" i="1"/>
  <c r="E1839" i="1"/>
  <c r="F1839" i="1"/>
  <c r="C1520" i="1"/>
  <c r="D1520" i="1"/>
  <c r="E1520" i="1"/>
  <c r="F1520" i="1"/>
  <c r="C688" i="1"/>
  <c r="D688" i="1"/>
  <c r="E688" i="1"/>
  <c r="F688" i="1"/>
  <c r="C1970" i="1"/>
  <c r="D1970" i="1"/>
  <c r="E1970" i="1"/>
  <c r="F1970" i="1"/>
  <c r="C2203" i="1"/>
  <c r="D2203" i="1"/>
  <c r="E2203" i="1"/>
  <c r="F2203" i="1"/>
  <c r="C2117" i="1"/>
  <c r="D2117" i="1"/>
  <c r="E2117" i="1"/>
  <c r="F2117" i="1"/>
  <c r="C1359" i="1"/>
  <c r="D1359" i="1"/>
  <c r="E1359" i="1"/>
  <c r="F1359" i="1"/>
  <c r="C1707" i="1"/>
  <c r="D1707" i="1"/>
  <c r="E1707" i="1"/>
  <c r="F1707" i="1"/>
  <c r="C2059" i="1"/>
  <c r="D2059" i="1"/>
  <c r="E2059" i="1"/>
  <c r="F2059" i="1"/>
  <c r="C1909" i="1"/>
  <c r="D1909" i="1"/>
  <c r="E1909" i="1"/>
  <c r="F1909" i="1"/>
  <c r="C1663" i="1"/>
  <c r="D1663" i="1"/>
  <c r="E1663" i="1"/>
  <c r="F1663" i="1"/>
  <c r="C1645" i="1"/>
  <c r="D1645" i="1"/>
  <c r="E1645" i="1"/>
  <c r="F1645" i="1"/>
  <c r="C2075" i="1"/>
  <c r="D2075" i="1"/>
  <c r="E2075" i="1"/>
  <c r="F2075" i="1"/>
  <c r="C934" i="1"/>
  <c r="D934" i="1"/>
  <c r="E934" i="1"/>
  <c r="F934" i="1"/>
  <c r="C1556" i="1"/>
  <c r="D1556" i="1"/>
  <c r="E1556" i="1"/>
  <c r="F1556" i="1"/>
  <c r="C1543" i="1"/>
  <c r="D1543" i="1"/>
  <c r="E1543" i="1"/>
  <c r="F1543" i="1"/>
  <c r="C1601" i="1"/>
  <c r="D1601" i="1"/>
  <c r="E1601" i="1"/>
  <c r="F1601" i="1"/>
  <c r="C887" i="1"/>
  <c r="D887" i="1"/>
  <c r="E887" i="1"/>
  <c r="F887" i="1"/>
  <c r="C1815" i="1"/>
  <c r="D1815" i="1"/>
  <c r="E1815" i="1"/>
  <c r="F1815" i="1"/>
  <c r="C1734" i="1"/>
  <c r="D1734" i="1"/>
  <c r="E1734" i="1"/>
  <c r="F1734" i="1"/>
  <c r="C2165" i="1"/>
  <c r="D2165" i="1"/>
  <c r="E2165" i="1"/>
  <c r="F2165" i="1"/>
  <c r="C2045" i="1"/>
  <c r="D2045" i="1"/>
  <c r="E2045" i="1"/>
  <c r="F2045" i="1"/>
  <c r="C1441" i="1"/>
  <c r="D1441" i="1"/>
  <c r="E1441" i="1"/>
  <c r="F1441" i="1"/>
  <c r="C2211" i="1"/>
  <c r="D2211" i="1"/>
  <c r="E2211" i="1"/>
  <c r="F2211" i="1"/>
  <c r="C2002" i="1"/>
  <c r="D2002" i="1"/>
  <c r="E2002" i="1"/>
  <c r="F2002" i="1"/>
  <c r="C2303" i="1"/>
  <c r="D2303" i="1"/>
  <c r="E2303" i="1"/>
  <c r="F2303" i="1"/>
  <c r="C1617" i="1"/>
  <c r="D1617" i="1"/>
  <c r="E1617" i="1"/>
  <c r="F1617" i="1"/>
  <c r="C2281" i="1"/>
  <c r="D2281" i="1"/>
  <c r="E2281" i="1"/>
  <c r="F2281" i="1"/>
  <c r="C2307" i="1"/>
  <c r="D2307" i="1"/>
  <c r="E2307" i="1"/>
  <c r="F2307" i="1"/>
  <c r="C2118" i="1"/>
  <c r="D2118" i="1"/>
  <c r="E2118" i="1"/>
  <c r="F2118" i="1"/>
  <c r="C1174" i="1"/>
  <c r="D1174" i="1"/>
  <c r="E1174" i="1"/>
  <c r="F1174" i="1"/>
  <c r="C1442" i="1"/>
  <c r="D1442" i="1"/>
  <c r="E1442" i="1"/>
  <c r="F1442" i="1"/>
  <c r="C2295" i="1"/>
  <c r="D2295" i="1"/>
  <c r="E2295" i="1"/>
  <c r="F2295" i="1"/>
  <c r="C1489" i="1"/>
  <c r="D1489" i="1"/>
  <c r="E1489" i="1"/>
  <c r="F1489" i="1"/>
  <c r="C1490" i="1"/>
  <c r="D1490" i="1"/>
  <c r="E1490" i="1"/>
  <c r="F1490" i="1"/>
  <c r="C1491" i="1"/>
  <c r="D1491" i="1"/>
  <c r="E1491" i="1"/>
  <c r="F1491" i="1"/>
  <c r="C294" i="1"/>
  <c r="D294" i="1"/>
  <c r="E294" i="1"/>
  <c r="F294" i="1"/>
  <c r="C2300" i="1"/>
  <c r="D2300" i="1"/>
  <c r="E2300" i="1"/>
  <c r="F2300" i="1"/>
  <c r="C2273" i="1"/>
  <c r="D2273" i="1"/>
  <c r="E2273" i="1"/>
  <c r="F2273" i="1"/>
  <c r="C2186" i="1"/>
  <c r="D2186" i="1"/>
  <c r="E2186" i="1"/>
  <c r="F2186" i="1"/>
  <c r="C1798" i="1"/>
  <c r="D1798" i="1"/>
  <c r="E1798" i="1"/>
  <c r="F1798" i="1"/>
  <c r="C1799" i="1"/>
  <c r="D1799" i="1"/>
  <c r="E1799" i="1"/>
  <c r="F1799" i="1"/>
  <c r="C1800" i="1"/>
  <c r="D1800" i="1"/>
  <c r="E1800" i="1"/>
  <c r="F1800" i="1"/>
  <c r="C2248" i="1"/>
  <c r="D2248" i="1"/>
  <c r="E2248" i="1"/>
  <c r="F2248" i="1"/>
  <c r="C263" i="1"/>
  <c r="D263" i="1"/>
  <c r="E263" i="1"/>
  <c r="F263" i="1"/>
  <c r="C226" i="1"/>
  <c r="D226" i="1"/>
  <c r="E226" i="1"/>
  <c r="F226" i="1"/>
  <c r="C1636" i="1"/>
  <c r="D1636" i="1"/>
  <c r="E1636" i="1"/>
  <c r="F1636" i="1"/>
  <c r="C1763" i="1"/>
  <c r="D1763" i="1"/>
  <c r="E1763" i="1"/>
  <c r="F1763" i="1"/>
  <c r="C1114" i="1"/>
  <c r="D1114" i="1"/>
  <c r="E1114" i="1"/>
  <c r="F1114" i="1"/>
  <c r="C2309" i="1"/>
  <c r="D2309" i="1"/>
  <c r="E2309" i="1"/>
  <c r="F2309" i="1"/>
  <c r="C1972" i="1"/>
  <c r="D1972" i="1"/>
  <c r="E1972" i="1"/>
  <c r="F1972" i="1"/>
  <c r="C1957" i="1"/>
  <c r="D1957" i="1"/>
  <c r="E1957" i="1"/>
  <c r="F1957" i="1"/>
  <c r="C2163" i="1"/>
  <c r="D2163" i="1"/>
  <c r="E2163" i="1"/>
  <c r="F2163" i="1"/>
  <c r="C2006" i="1"/>
  <c r="D2006" i="1"/>
  <c r="E2006" i="1"/>
  <c r="F2006" i="1"/>
  <c r="C2188" i="1"/>
  <c r="D2188" i="1"/>
  <c r="E2188" i="1"/>
  <c r="F2188" i="1"/>
  <c r="C1913" i="1"/>
  <c r="D1913" i="1"/>
  <c r="E1913" i="1"/>
  <c r="F1913" i="1"/>
  <c r="C1549" i="1"/>
  <c r="D1549" i="1"/>
  <c r="E1549" i="1"/>
  <c r="F1549" i="1"/>
  <c r="C2317" i="1"/>
  <c r="D2317" i="1"/>
  <c r="E2317" i="1"/>
  <c r="F2317" i="1"/>
  <c r="C1424" i="1"/>
  <c r="D1424" i="1"/>
  <c r="E1424" i="1"/>
  <c r="F1424" i="1"/>
  <c r="C1771" i="1"/>
  <c r="D1771" i="1"/>
  <c r="E1771" i="1"/>
  <c r="F1771" i="1"/>
  <c r="C1953" i="1"/>
  <c r="D1953" i="1"/>
  <c r="E1953" i="1"/>
  <c r="F1953" i="1"/>
  <c r="C1944" i="1"/>
  <c r="D1944" i="1"/>
  <c r="E1944" i="1"/>
  <c r="F1944" i="1"/>
  <c r="C1623" i="1"/>
  <c r="D1623" i="1"/>
  <c r="E1623" i="1"/>
  <c r="F1623" i="1"/>
  <c r="C2139" i="1"/>
  <c r="D2139" i="1"/>
  <c r="E2139" i="1"/>
  <c r="F2139" i="1"/>
  <c r="C2102" i="1"/>
  <c r="D2102" i="1"/>
  <c r="E2102" i="1"/>
  <c r="F2102" i="1"/>
  <c r="C2116" i="1"/>
  <c r="D2116" i="1"/>
  <c r="E2116" i="1"/>
  <c r="F2116" i="1"/>
  <c r="C2325" i="1"/>
  <c r="D2325" i="1"/>
  <c r="E2325" i="1"/>
  <c r="F2325" i="1"/>
  <c r="C1124" i="1"/>
  <c r="D1124" i="1"/>
  <c r="E1124" i="1"/>
  <c r="F1124" i="1"/>
  <c r="C2327" i="1"/>
  <c r="D2327" i="1"/>
  <c r="E2327" i="1"/>
  <c r="F2327" i="1"/>
  <c r="C1421" i="1"/>
  <c r="D1421" i="1"/>
  <c r="E1421" i="1"/>
  <c r="F1421" i="1"/>
  <c r="C2064" i="1"/>
  <c r="D2064" i="1"/>
  <c r="E2064" i="1"/>
  <c r="F2064" i="1"/>
  <c r="C2270" i="1"/>
  <c r="D2270" i="1"/>
  <c r="E2270" i="1"/>
  <c r="F2270" i="1"/>
  <c r="C1987" i="1"/>
  <c r="D1987" i="1"/>
  <c r="C2046" i="1"/>
  <c r="D2046" i="1"/>
  <c r="C1391" i="1"/>
  <c r="D1391" i="1"/>
  <c r="C2166" i="1"/>
  <c r="D2166" i="1"/>
  <c r="E2166" i="1"/>
  <c r="F2166" i="1"/>
  <c r="C1740" i="1"/>
  <c r="D1740" i="1"/>
  <c r="E1740" i="1"/>
  <c r="F1740" i="1"/>
  <c r="C2315" i="1"/>
  <c r="D2315" i="1"/>
  <c r="E2315" i="1"/>
  <c r="F2315" i="1"/>
  <c r="C1305" i="1"/>
  <c r="D1305" i="1"/>
  <c r="E1305" i="1"/>
  <c r="F1305" i="1"/>
  <c r="C2320" i="1"/>
  <c r="D2320" i="1"/>
  <c r="E2320" i="1"/>
  <c r="F2320" i="1"/>
  <c r="C2221" i="1"/>
  <c r="D2221" i="1"/>
  <c r="E2221" i="1"/>
  <c r="F2221" i="1"/>
  <c r="C2308" i="1"/>
  <c r="D2308" i="1"/>
  <c r="E2308" i="1"/>
  <c r="F2308" i="1"/>
  <c r="C2013" i="1"/>
  <c r="D2013" i="1"/>
  <c r="E2013" i="1"/>
  <c r="F2013" i="1"/>
  <c r="C1230" i="1"/>
  <c r="D1230" i="1"/>
  <c r="E1230" i="1"/>
  <c r="F1230" i="1"/>
  <c r="C1063" i="1"/>
  <c r="D1063" i="1"/>
  <c r="E1063" i="1"/>
  <c r="F1063" i="1"/>
  <c r="C1399" i="1"/>
  <c r="D1399" i="1"/>
  <c r="E1399" i="1"/>
  <c r="F1399" i="1"/>
  <c r="C2090" i="1"/>
  <c r="D2090" i="1"/>
  <c r="E2090" i="1"/>
  <c r="F2090" i="1"/>
  <c r="C1858" i="1"/>
  <c r="D1858" i="1"/>
  <c r="E1858" i="1"/>
  <c r="F1858" i="1"/>
  <c r="C1537" i="1"/>
  <c r="D1537" i="1"/>
  <c r="E1537" i="1"/>
  <c r="F1537" i="1"/>
  <c r="C655" i="1"/>
  <c r="D655" i="1"/>
  <c r="E655" i="1"/>
  <c r="F655" i="1"/>
  <c r="C820" i="1"/>
  <c r="D820" i="1"/>
  <c r="E820" i="1"/>
  <c r="F820" i="1"/>
  <c r="C1310" i="1"/>
  <c r="D1310" i="1"/>
  <c r="E1310" i="1"/>
  <c r="F1310" i="1"/>
  <c r="C1656" i="1"/>
  <c r="D1656" i="1"/>
  <c r="E1656" i="1"/>
  <c r="F1656" i="1"/>
  <c r="C706" i="1"/>
  <c r="D706" i="1"/>
  <c r="E706" i="1"/>
  <c r="F706" i="1"/>
  <c r="C707" i="1"/>
  <c r="D707" i="1"/>
  <c r="E707" i="1"/>
  <c r="F707" i="1"/>
  <c r="C1372" i="1"/>
  <c r="D1372" i="1"/>
  <c r="E1372" i="1"/>
  <c r="F1372" i="1"/>
  <c r="C1881" i="1"/>
  <c r="D1881" i="1"/>
  <c r="E1881" i="1"/>
  <c r="F1881" i="1"/>
  <c r="C1985" i="1"/>
  <c r="D1985" i="1"/>
  <c r="E1985" i="1"/>
  <c r="F1985" i="1"/>
  <c r="C198" i="1"/>
  <c r="D198" i="1"/>
  <c r="E198" i="1"/>
  <c r="F198" i="1"/>
  <c r="C1482" i="1"/>
  <c r="D1482" i="1"/>
  <c r="E1482" i="1"/>
  <c r="F1482" i="1"/>
  <c r="C1555" i="1"/>
  <c r="D1555" i="1"/>
  <c r="E1555" i="1"/>
  <c r="F1555" i="1"/>
  <c r="C1153" i="1"/>
  <c r="D1153" i="1"/>
  <c r="E1153" i="1"/>
  <c r="F1153" i="1"/>
  <c r="C946" i="1"/>
  <c r="D946" i="1"/>
  <c r="E946" i="1"/>
  <c r="F946" i="1"/>
  <c r="C705" i="1"/>
  <c r="D705" i="1"/>
  <c r="E705" i="1"/>
  <c r="F705" i="1"/>
  <c r="C1612" i="1"/>
  <c r="D1612" i="1"/>
  <c r="E1612" i="1"/>
  <c r="F1612" i="1"/>
  <c r="C439" i="1"/>
  <c r="D439" i="1"/>
  <c r="E439" i="1"/>
  <c r="F439" i="1"/>
  <c r="C373" i="1"/>
  <c r="D373" i="1"/>
  <c r="E373" i="1"/>
  <c r="F373" i="1"/>
  <c r="C165" i="1"/>
  <c r="D165" i="1"/>
  <c r="E165" i="1"/>
  <c r="F165" i="1"/>
  <c r="C669" i="1"/>
  <c r="D669" i="1"/>
  <c r="E669" i="1"/>
  <c r="F669" i="1"/>
  <c r="C210" i="1"/>
  <c r="D210" i="1"/>
  <c r="E210" i="1"/>
  <c r="F210" i="1"/>
  <c r="C777" i="1"/>
  <c r="D777" i="1"/>
  <c r="E777" i="1"/>
  <c r="F777" i="1"/>
  <c r="C293" i="1"/>
  <c r="D293" i="1"/>
  <c r="E293" i="1"/>
  <c r="F293" i="1"/>
  <c r="C39" i="1"/>
  <c r="D39" i="1"/>
  <c r="E39" i="1"/>
  <c r="F39" i="1"/>
  <c r="C467" i="1"/>
  <c r="D467" i="1"/>
  <c r="E467" i="1"/>
  <c r="F467" i="1"/>
  <c r="C339" i="1"/>
  <c r="D339" i="1"/>
  <c r="E339" i="1"/>
  <c r="F339" i="1"/>
  <c r="C270" i="1"/>
  <c r="D270" i="1"/>
  <c r="E270" i="1"/>
  <c r="F270" i="1"/>
  <c r="C714" i="1"/>
  <c r="D714" i="1"/>
  <c r="E714" i="1"/>
  <c r="F714" i="1"/>
  <c r="C217" i="1"/>
  <c r="D217" i="1"/>
  <c r="E217" i="1"/>
  <c r="F217" i="1"/>
  <c r="C213" i="1"/>
  <c r="D213" i="1"/>
  <c r="E213" i="1"/>
  <c r="F213" i="1"/>
  <c r="C464" i="1"/>
  <c r="D464" i="1"/>
  <c r="E464" i="1"/>
  <c r="F464" i="1"/>
  <c r="C1828" i="1"/>
  <c r="D1828" i="1"/>
  <c r="E1828" i="1"/>
  <c r="F1828" i="1"/>
  <c r="C1894" i="1"/>
  <c r="D1894" i="1"/>
  <c r="E1894" i="1"/>
  <c r="F1894" i="1"/>
  <c r="C740" i="1"/>
  <c r="D740" i="1"/>
  <c r="E740" i="1"/>
  <c r="F740" i="1"/>
  <c r="C1076" i="1"/>
  <c r="D1076" i="1"/>
  <c r="E1076" i="1"/>
  <c r="F1076" i="1"/>
  <c r="C403" i="1"/>
  <c r="D403" i="1"/>
  <c r="E403" i="1"/>
  <c r="F403" i="1"/>
  <c r="C148" i="1"/>
  <c r="D148" i="1"/>
  <c r="E148" i="1"/>
  <c r="F148" i="1"/>
  <c r="C125" i="1"/>
  <c r="D125" i="1"/>
  <c r="E125" i="1"/>
  <c r="F125" i="1"/>
  <c r="C1536" i="1"/>
  <c r="D1536" i="1"/>
  <c r="E1536" i="1"/>
  <c r="F1536" i="1"/>
  <c r="C1814" i="1"/>
  <c r="D1814" i="1"/>
  <c r="E1814" i="1"/>
  <c r="F1814" i="1"/>
  <c r="C768" i="1"/>
  <c r="D768" i="1"/>
  <c r="E768" i="1"/>
  <c r="F768" i="1"/>
  <c r="C177" i="1"/>
  <c r="D177" i="1"/>
  <c r="E177" i="1"/>
  <c r="F177" i="1"/>
  <c r="C734" i="1"/>
  <c r="D734" i="1"/>
  <c r="E734" i="1"/>
  <c r="F734" i="1"/>
  <c r="C844" i="1"/>
  <c r="D844" i="1"/>
  <c r="E844" i="1"/>
  <c r="F844" i="1"/>
  <c r="C419" i="1"/>
  <c r="D419" i="1"/>
  <c r="E419" i="1"/>
  <c r="F419" i="1"/>
  <c r="C528" i="1"/>
  <c r="D528" i="1"/>
  <c r="E528" i="1"/>
  <c r="F528" i="1"/>
  <c r="C490" i="1"/>
  <c r="D490" i="1"/>
  <c r="E490" i="1"/>
  <c r="F490" i="1"/>
  <c r="C1984" i="1"/>
  <c r="D1984" i="1"/>
  <c r="E1984" i="1"/>
  <c r="F1984" i="1"/>
  <c r="C202" i="1"/>
  <c r="D202" i="1"/>
  <c r="E202" i="1"/>
  <c r="F202" i="1"/>
  <c r="C43" i="1"/>
  <c r="D43" i="1"/>
  <c r="E43" i="1"/>
  <c r="F43" i="1"/>
  <c r="C335" i="1"/>
  <c r="D335" i="1"/>
  <c r="E335" i="1"/>
  <c r="F335" i="1"/>
  <c r="C40" i="1"/>
  <c r="D40" i="1"/>
  <c r="E40" i="1"/>
  <c r="F40" i="1"/>
  <c r="C1527" i="1"/>
  <c r="D1527" i="1"/>
  <c r="E1527" i="1"/>
  <c r="F1527" i="1"/>
  <c r="C1396" i="1"/>
  <c r="D1396" i="1"/>
  <c r="E1396" i="1"/>
  <c r="F1396" i="1"/>
  <c r="C1319" i="1"/>
  <c r="D1319" i="1"/>
  <c r="E1319" i="1"/>
  <c r="F1319" i="1"/>
  <c r="C1379" i="1"/>
  <c r="D1379" i="1"/>
  <c r="E1379" i="1"/>
  <c r="F1379" i="1"/>
  <c r="C1922" i="1"/>
  <c r="D1922" i="1"/>
  <c r="E1922" i="1"/>
  <c r="F1922" i="1"/>
  <c r="C1540" i="1"/>
  <c r="D1540" i="1"/>
  <c r="E1540" i="1"/>
  <c r="F1540" i="1"/>
  <c r="C527" i="1"/>
  <c r="D527" i="1"/>
  <c r="E527" i="1"/>
  <c r="F527" i="1"/>
  <c r="C1803" i="1"/>
  <c r="D1803" i="1"/>
  <c r="E1803" i="1"/>
  <c r="F1803" i="1"/>
  <c r="C1893" i="1"/>
  <c r="D1893" i="1"/>
  <c r="E1893" i="1"/>
  <c r="F1893" i="1"/>
  <c r="C1852" i="1"/>
  <c r="D1852" i="1"/>
  <c r="E1852" i="1"/>
  <c r="F1852" i="1"/>
  <c r="C1907" i="1"/>
  <c r="D1907" i="1"/>
  <c r="E1907" i="1"/>
  <c r="F1907" i="1"/>
  <c r="C1089" i="1"/>
  <c r="D1089" i="1"/>
  <c r="E1089" i="1"/>
  <c r="F1089" i="1"/>
  <c r="C1805" i="1"/>
  <c r="D1805" i="1"/>
  <c r="E1805" i="1"/>
  <c r="F1805" i="1"/>
  <c r="C1958" i="1"/>
  <c r="D1958" i="1"/>
  <c r="E1958" i="1"/>
  <c r="F1958" i="1"/>
  <c r="C2086" i="1"/>
  <c r="D2086" i="1"/>
  <c r="E2086" i="1"/>
  <c r="F2086" i="1"/>
  <c r="C1853" i="1"/>
  <c r="D1853" i="1"/>
  <c r="E1853" i="1"/>
  <c r="F1853" i="1"/>
  <c r="C1978" i="1"/>
  <c r="D1978" i="1"/>
  <c r="E1978" i="1"/>
  <c r="F1978" i="1"/>
  <c r="C2000" i="1"/>
  <c r="D2000" i="1"/>
  <c r="E2000" i="1"/>
  <c r="F2000" i="1"/>
  <c r="C2078" i="1"/>
  <c r="D2078" i="1"/>
  <c r="E2078" i="1"/>
  <c r="F2078" i="1"/>
  <c r="C552" i="1"/>
  <c r="D552" i="1"/>
  <c r="E552" i="1"/>
  <c r="F552" i="1"/>
  <c r="C1542" i="1"/>
  <c r="D1542" i="1"/>
  <c r="E1542" i="1"/>
  <c r="F1542" i="1"/>
  <c r="C1880" i="1"/>
  <c r="D1880" i="1"/>
  <c r="E1880" i="1"/>
  <c r="F1880" i="1"/>
  <c r="C1622" i="1"/>
  <c r="D1622" i="1"/>
  <c r="E1622" i="1"/>
  <c r="F1622" i="1"/>
  <c r="C857" i="1"/>
  <c r="D857" i="1"/>
  <c r="E857" i="1"/>
  <c r="F857" i="1"/>
  <c r="C1105" i="1"/>
  <c r="D1105" i="1"/>
  <c r="E1105" i="1"/>
  <c r="F1105" i="1"/>
  <c r="C1106" i="1"/>
  <c r="D1106" i="1"/>
  <c r="E1106" i="1"/>
  <c r="F1106" i="1"/>
  <c r="C1057" i="1"/>
  <c r="D1057" i="1"/>
  <c r="E1057" i="1"/>
  <c r="F1057" i="1"/>
  <c r="C1394" i="1"/>
  <c r="D1394" i="1"/>
  <c r="E1394" i="1"/>
  <c r="F1394" i="1"/>
  <c r="C1131" i="1"/>
  <c r="D1131" i="1"/>
  <c r="E1131" i="1"/>
  <c r="F1131" i="1"/>
  <c r="C1036" i="1"/>
  <c r="D1036" i="1"/>
  <c r="E1036" i="1"/>
  <c r="F1036" i="1"/>
  <c r="C1866" i="1"/>
  <c r="D1866" i="1"/>
  <c r="E1866" i="1"/>
  <c r="F1866" i="1"/>
  <c r="C239" i="1"/>
  <c r="D239" i="1"/>
  <c r="E239" i="1"/>
  <c r="F239" i="1"/>
  <c r="C833" i="1"/>
  <c r="D833" i="1"/>
  <c r="E833" i="1"/>
  <c r="F833" i="1"/>
  <c r="C1932" i="1"/>
  <c r="D1932" i="1"/>
  <c r="E1932" i="1"/>
  <c r="F1932" i="1"/>
  <c r="C344" i="1"/>
  <c r="D344" i="1"/>
  <c r="E344" i="1"/>
  <c r="F344" i="1"/>
  <c r="C342" i="1"/>
  <c r="D342" i="1"/>
  <c r="E342" i="1"/>
  <c r="F342" i="1"/>
  <c r="C504" i="1"/>
  <c r="D504" i="1"/>
  <c r="E504" i="1"/>
  <c r="F504" i="1"/>
  <c r="C1782" i="1"/>
  <c r="D1782" i="1"/>
  <c r="E1782" i="1"/>
  <c r="F1782" i="1"/>
  <c r="C1082" i="1"/>
  <c r="D1082" i="1"/>
  <c r="E1082" i="1"/>
  <c r="F1082" i="1"/>
  <c r="C847" i="1"/>
  <c r="D847" i="1"/>
  <c r="E847" i="1"/>
  <c r="F847" i="1"/>
  <c r="C25" i="1"/>
  <c r="D25" i="1"/>
  <c r="E25" i="1"/>
  <c r="F25" i="1"/>
  <c r="C1246" i="1"/>
  <c r="D1246" i="1"/>
  <c r="E1246" i="1"/>
  <c r="F1246" i="1"/>
  <c r="C1022" i="1"/>
  <c r="D1022" i="1"/>
  <c r="E1022" i="1"/>
  <c r="F1022" i="1"/>
  <c r="C1297" i="1"/>
  <c r="D1297" i="1"/>
  <c r="E1297" i="1"/>
  <c r="F1297" i="1"/>
  <c r="C1316" i="1"/>
  <c r="D1316" i="1"/>
  <c r="E1316" i="1"/>
  <c r="F1316" i="1"/>
  <c r="C1020" i="1"/>
  <c r="D1020" i="1"/>
  <c r="E1020" i="1"/>
  <c r="F1020" i="1"/>
  <c r="C176" i="1"/>
  <c r="D176" i="1"/>
  <c r="E176" i="1"/>
  <c r="F176" i="1"/>
  <c r="C495" i="1"/>
  <c r="D495" i="1"/>
  <c r="E495" i="1"/>
  <c r="F495" i="1"/>
  <c r="C536" i="1"/>
  <c r="D536" i="1"/>
  <c r="E536" i="1"/>
  <c r="F536" i="1"/>
  <c r="C275" i="1"/>
  <c r="D275" i="1"/>
  <c r="E275" i="1"/>
  <c r="F275" i="1"/>
  <c r="C128" i="1"/>
  <c r="D128" i="1"/>
  <c r="E128" i="1"/>
  <c r="F128" i="1"/>
  <c r="C431" i="1"/>
  <c r="D431" i="1"/>
  <c r="E431" i="1"/>
  <c r="F431" i="1"/>
  <c r="C926" i="1"/>
  <c r="D926" i="1"/>
  <c r="E926" i="1"/>
  <c r="F926" i="1"/>
  <c r="C164" i="1"/>
  <c r="D164" i="1"/>
  <c r="E164" i="1"/>
  <c r="F164" i="1"/>
  <c r="C1335" i="1"/>
  <c r="D1335" i="1"/>
  <c r="E1335" i="1"/>
  <c r="F1335" i="1"/>
  <c r="C591" i="1"/>
  <c r="D591" i="1"/>
  <c r="E591" i="1"/>
  <c r="F591" i="1"/>
  <c r="C1521" i="1"/>
  <c r="D1521" i="1"/>
  <c r="E1521" i="1"/>
  <c r="F1521" i="1"/>
  <c r="C1433" i="1"/>
  <c r="D1433" i="1"/>
  <c r="E1433" i="1"/>
  <c r="F1433" i="1"/>
  <c r="C503" i="1"/>
  <c r="D503" i="1"/>
  <c r="E503" i="1"/>
  <c r="F503" i="1"/>
  <c r="C800" i="1"/>
  <c r="D800" i="1"/>
  <c r="E800" i="1"/>
  <c r="F800" i="1"/>
  <c r="C1426" i="1"/>
  <c r="D1426" i="1"/>
  <c r="E1426" i="1"/>
  <c r="F1426" i="1"/>
  <c r="C1497" i="1"/>
  <c r="D1497" i="1"/>
  <c r="E1497" i="1"/>
  <c r="F1497" i="1"/>
  <c r="C815" i="1"/>
  <c r="D815" i="1"/>
  <c r="E815" i="1"/>
  <c r="F815" i="1"/>
  <c r="C791" i="1"/>
  <c r="D791" i="1"/>
  <c r="E791" i="1"/>
  <c r="F791" i="1"/>
  <c r="C667" i="1"/>
  <c r="D667" i="1"/>
  <c r="E667" i="1"/>
  <c r="F667" i="1"/>
  <c r="C2094" i="1"/>
  <c r="D2094" i="1"/>
  <c r="E2094" i="1"/>
  <c r="F2094" i="1"/>
  <c r="C638" i="1"/>
  <c r="D638" i="1"/>
  <c r="E638" i="1"/>
  <c r="F638" i="1"/>
  <c r="C1562" i="1"/>
  <c r="D1562" i="1"/>
  <c r="E1562" i="1"/>
  <c r="F1562" i="1"/>
  <c r="C735" i="1"/>
  <c r="D735" i="1"/>
  <c r="E735" i="1"/>
  <c r="F735" i="1"/>
  <c r="C605" i="1"/>
  <c r="D605" i="1"/>
  <c r="E605" i="1"/>
  <c r="F605" i="1"/>
  <c r="C194" i="1"/>
  <c r="D194" i="1"/>
  <c r="E194" i="1"/>
  <c r="F194" i="1"/>
  <c r="C529" i="1"/>
  <c r="D529" i="1"/>
  <c r="E529" i="1"/>
  <c r="F529" i="1"/>
  <c r="C367" i="1"/>
  <c r="D367" i="1"/>
  <c r="E367" i="1"/>
  <c r="F367" i="1"/>
  <c r="C1661" i="1"/>
  <c r="D1661" i="1"/>
  <c r="E1661" i="1"/>
  <c r="F1661" i="1"/>
  <c r="C992" i="1"/>
  <c r="D992" i="1"/>
  <c r="E992" i="1"/>
  <c r="F992" i="1"/>
  <c r="C345" i="1"/>
  <c r="D345" i="1"/>
  <c r="E345" i="1"/>
  <c r="F345" i="1"/>
  <c r="C152" i="1"/>
  <c r="D152" i="1"/>
  <c r="E152" i="1"/>
  <c r="F152" i="1"/>
  <c r="C365" i="1"/>
  <c r="D365" i="1"/>
  <c r="E365" i="1"/>
  <c r="F365" i="1"/>
  <c r="C30" i="1"/>
  <c r="D30" i="1"/>
  <c r="E30" i="1"/>
  <c r="F30" i="1"/>
  <c r="C630" i="1"/>
  <c r="D630" i="1"/>
  <c r="E630" i="1"/>
  <c r="F630" i="1"/>
  <c r="C546" i="1"/>
  <c r="D546" i="1"/>
  <c r="E546" i="1"/>
  <c r="F546" i="1"/>
  <c r="C710" i="1"/>
  <c r="D710" i="1"/>
  <c r="E710" i="1"/>
  <c r="F710" i="1"/>
  <c r="C679" i="1"/>
  <c r="D679" i="1"/>
  <c r="E679" i="1"/>
  <c r="F679" i="1"/>
  <c r="C121" i="1"/>
  <c r="D121" i="1"/>
  <c r="E121" i="1"/>
  <c r="F121" i="1"/>
  <c r="C636" i="1"/>
  <c r="D636" i="1"/>
  <c r="E636" i="1"/>
  <c r="F636" i="1"/>
  <c r="C957" i="1"/>
  <c r="D957" i="1"/>
  <c r="E957" i="1"/>
  <c r="F957" i="1"/>
  <c r="C782" i="1"/>
  <c r="D782" i="1"/>
  <c r="E782" i="1"/>
  <c r="F782" i="1"/>
  <c r="C416" i="1"/>
  <c r="D416" i="1"/>
  <c r="E416" i="1"/>
  <c r="F416" i="1"/>
  <c r="C1652" i="1"/>
  <c r="D1652" i="1"/>
  <c r="E1652" i="1"/>
  <c r="F1652" i="1"/>
  <c r="C2232" i="1"/>
  <c r="D2232" i="1"/>
  <c r="E2232" i="1"/>
  <c r="F2232" i="1"/>
  <c r="C1546" i="1"/>
  <c r="D1546" i="1"/>
  <c r="E1546" i="1"/>
  <c r="F1546" i="1"/>
  <c r="C1212" i="1"/>
  <c r="D1212" i="1"/>
  <c r="E1212" i="1"/>
  <c r="F1212" i="1"/>
  <c r="C1158" i="1"/>
  <c r="D1158" i="1"/>
  <c r="E1158" i="1"/>
  <c r="F1158" i="1"/>
  <c r="C564" i="1"/>
  <c r="D564" i="1"/>
  <c r="E564" i="1"/>
  <c r="F564" i="1"/>
  <c r="C267" i="1"/>
  <c r="D267" i="1"/>
  <c r="E267" i="1"/>
  <c r="F267" i="1"/>
  <c r="C1579" i="1"/>
  <c r="D1579" i="1"/>
  <c r="E1579" i="1"/>
  <c r="F1579" i="1"/>
  <c r="C967" i="1"/>
  <c r="D967" i="1"/>
  <c r="E967" i="1"/>
  <c r="F967" i="1"/>
  <c r="C968" i="1"/>
  <c r="D968" i="1"/>
  <c r="E968" i="1"/>
  <c r="F968" i="1"/>
  <c r="C1011" i="1"/>
  <c r="D1011" i="1"/>
  <c r="E1011" i="1"/>
  <c r="F1011" i="1"/>
  <c r="C1012" i="1"/>
  <c r="D1012" i="1"/>
  <c r="E1012" i="1"/>
  <c r="F1012" i="1"/>
  <c r="C360" i="1"/>
  <c r="D360" i="1"/>
  <c r="E360" i="1"/>
  <c r="F360" i="1"/>
  <c r="C1252" i="1"/>
  <c r="D1252" i="1"/>
  <c r="E1252" i="1"/>
  <c r="F1252" i="1"/>
  <c r="C334" i="1"/>
  <c r="D334" i="1"/>
  <c r="E334" i="1"/>
  <c r="F334" i="1"/>
  <c r="C1086" i="1"/>
  <c r="D1086" i="1"/>
  <c r="E1086" i="1"/>
  <c r="F1086" i="1"/>
  <c r="C2005" i="1"/>
  <c r="D2005" i="1"/>
  <c r="E2005" i="1"/>
  <c r="F2005" i="1"/>
  <c r="C576" i="1"/>
  <c r="D576" i="1"/>
  <c r="E576" i="1"/>
  <c r="F576" i="1"/>
  <c r="C687" i="1"/>
  <c r="D687" i="1"/>
  <c r="E687" i="1"/>
  <c r="F687" i="1"/>
  <c r="C1135" i="1"/>
  <c r="D1135" i="1"/>
  <c r="E1135" i="1"/>
  <c r="F1135" i="1"/>
  <c r="C1567" i="1"/>
  <c r="D1567" i="1"/>
  <c r="E1567" i="1"/>
  <c r="F1567" i="1"/>
  <c r="C1819" i="1"/>
  <c r="D1819" i="1"/>
  <c r="E1819" i="1"/>
  <c r="F1819" i="1"/>
  <c r="C307" i="1"/>
  <c r="D307" i="1"/>
  <c r="E307" i="1"/>
  <c r="F307" i="1"/>
  <c r="C1338" i="1"/>
  <c r="D1338" i="1"/>
  <c r="E1338" i="1"/>
  <c r="F1338" i="1"/>
  <c r="C1225" i="1"/>
  <c r="D1225" i="1"/>
  <c r="E1225" i="1"/>
  <c r="F1225" i="1"/>
  <c r="C470" i="1"/>
  <c r="D470" i="1"/>
  <c r="E470" i="1"/>
  <c r="F470" i="1"/>
  <c r="C150" i="1"/>
  <c r="D150" i="1"/>
  <c r="E150" i="1"/>
  <c r="F150" i="1"/>
  <c r="C1200" i="1"/>
  <c r="D1200" i="1"/>
  <c r="E1200" i="1"/>
  <c r="F1200" i="1"/>
  <c r="C200" i="1"/>
  <c r="D200" i="1"/>
  <c r="E200" i="1"/>
  <c r="F200" i="1"/>
  <c r="C1033" i="1"/>
  <c r="D1033" i="1"/>
  <c r="E1033" i="1"/>
  <c r="F1033" i="1"/>
  <c r="C1224" i="1"/>
  <c r="D1224" i="1"/>
  <c r="E1224" i="1"/>
  <c r="F1224" i="1"/>
  <c r="C363" i="1"/>
  <c r="D363" i="1"/>
  <c r="E363" i="1"/>
  <c r="F363" i="1"/>
  <c r="C1307" i="1"/>
  <c r="D1307" i="1"/>
  <c r="E1307" i="1"/>
  <c r="F1307" i="1"/>
  <c r="C882" i="1"/>
  <c r="D882" i="1"/>
  <c r="E882" i="1"/>
  <c r="F882" i="1"/>
  <c r="C634" i="1"/>
  <c r="D634" i="1"/>
  <c r="E634" i="1"/>
  <c r="F634" i="1"/>
  <c r="C888" i="1"/>
  <c r="D888" i="1"/>
  <c r="E888" i="1"/>
  <c r="F888" i="1"/>
  <c r="C1609" i="1"/>
  <c r="D1609" i="1"/>
  <c r="E1609" i="1"/>
  <c r="F1609" i="1"/>
  <c r="C883" i="1"/>
  <c r="D883" i="1"/>
  <c r="E883" i="1"/>
  <c r="F883" i="1"/>
  <c r="C77" i="1"/>
  <c r="D77" i="1"/>
  <c r="E77" i="1"/>
  <c r="F77" i="1"/>
  <c r="C749" i="1"/>
  <c r="D749" i="1"/>
  <c r="E749" i="1"/>
  <c r="F749" i="1"/>
  <c r="C170" i="1"/>
  <c r="D170" i="1"/>
  <c r="E170" i="1"/>
  <c r="F170" i="1"/>
  <c r="C218" i="1"/>
  <c r="D218" i="1"/>
  <c r="E218" i="1"/>
  <c r="F218" i="1"/>
  <c r="C389" i="1"/>
  <c r="D389" i="1"/>
  <c r="E389" i="1"/>
  <c r="F389" i="1"/>
  <c r="C1052" i="1"/>
  <c r="D1052" i="1"/>
  <c r="E1052" i="1"/>
  <c r="F1052" i="1"/>
  <c r="C14" i="1"/>
  <c r="D14" i="1"/>
  <c r="E14" i="1"/>
  <c r="F14" i="1"/>
  <c r="C4" i="1"/>
  <c r="D4" i="1"/>
  <c r="E4" i="1"/>
  <c r="F4" i="1"/>
  <c r="C10" i="1"/>
  <c r="D10" i="1"/>
  <c r="E10" i="1"/>
  <c r="F10" i="1"/>
  <c r="C455" i="1"/>
  <c r="D455" i="1"/>
  <c r="E455" i="1"/>
  <c r="F455" i="1"/>
  <c r="C111" i="1"/>
  <c r="D111" i="1"/>
  <c r="E111" i="1"/>
  <c r="F111" i="1"/>
  <c r="C532" i="1"/>
  <c r="D532" i="1"/>
  <c r="E532" i="1"/>
  <c r="F532" i="1"/>
  <c r="C762" i="1"/>
  <c r="D762" i="1"/>
  <c r="E762" i="1"/>
  <c r="F762" i="1"/>
  <c r="C1068" i="1"/>
  <c r="D1068" i="1"/>
  <c r="E1068" i="1"/>
  <c r="F1068" i="1"/>
  <c r="C1282" i="1"/>
  <c r="D1282" i="1"/>
  <c r="E1282" i="1"/>
  <c r="F1282" i="1"/>
  <c r="C1369" i="1"/>
  <c r="D1369" i="1"/>
  <c r="E1369" i="1"/>
  <c r="F1369" i="1"/>
  <c r="C1761" i="1"/>
  <c r="D1761" i="1"/>
  <c r="E1761" i="1"/>
  <c r="F1761" i="1"/>
  <c r="C2150" i="1"/>
  <c r="D2150" i="1"/>
  <c r="E2150" i="1"/>
  <c r="F2150" i="1"/>
  <c r="C2223" i="1"/>
  <c r="D2223" i="1"/>
  <c r="E2223" i="1"/>
  <c r="F2223" i="1"/>
  <c r="C5" i="1"/>
  <c r="D5" i="1"/>
  <c r="E5" i="1"/>
  <c r="F5" i="1"/>
  <c r="C318" i="1"/>
  <c r="D318" i="1"/>
  <c r="E318" i="1"/>
  <c r="F318" i="1"/>
  <c r="C884" i="1"/>
  <c r="D884" i="1"/>
  <c r="E884" i="1"/>
  <c r="F884" i="1"/>
  <c r="C1665" i="1"/>
  <c r="D1665" i="1"/>
  <c r="E1665" i="1"/>
  <c r="F1665" i="1"/>
  <c r="C974" i="1"/>
  <c r="D974" i="1"/>
  <c r="E974" i="1"/>
  <c r="F974" i="1"/>
  <c r="C1938" i="1"/>
  <c r="D1938" i="1"/>
  <c r="E1938" i="1"/>
  <c r="F1938" i="1"/>
  <c r="C2168" i="1"/>
  <c r="D2168" i="1"/>
  <c r="E2168" i="1"/>
  <c r="F2168" i="1"/>
  <c r="C359" i="1"/>
  <c r="D359" i="1"/>
  <c r="E359" i="1"/>
  <c r="F359" i="1"/>
  <c r="C1051" i="1"/>
  <c r="D1051" i="1"/>
  <c r="E1051" i="1"/>
  <c r="F1051" i="1"/>
  <c r="C450" i="1"/>
  <c r="D450" i="1"/>
  <c r="E450" i="1"/>
  <c r="F450" i="1"/>
  <c r="C896" i="1"/>
  <c r="D896" i="1"/>
  <c r="E896" i="1"/>
  <c r="F896" i="1"/>
  <c r="C1130" i="1"/>
  <c r="D1130" i="1"/>
  <c r="E1130" i="1"/>
  <c r="F1130" i="1"/>
  <c r="C313" i="1"/>
  <c r="D313" i="1"/>
  <c r="E313" i="1"/>
  <c r="F313" i="1"/>
  <c r="C632" i="1"/>
  <c r="D632" i="1"/>
  <c r="E632" i="1"/>
  <c r="F632" i="1"/>
  <c r="C414" i="1"/>
  <c r="D414" i="1"/>
  <c r="E414" i="1"/>
  <c r="F414" i="1"/>
  <c r="C610" i="1"/>
  <c r="D610" i="1"/>
  <c r="E610" i="1"/>
  <c r="F610" i="1"/>
  <c r="C11" i="1"/>
  <c r="D11" i="1"/>
  <c r="E11" i="1"/>
  <c r="F11" i="1"/>
  <c r="C789" i="1"/>
  <c r="D789" i="1"/>
  <c r="E789" i="1"/>
  <c r="F789" i="1"/>
  <c r="C849" i="1"/>
  <c r="D849" i="1"/>
  <c r="E849" i="1"/>
  <c r="F849" i="1"/>
  <c r="C625" i="1"/>
  <c r="D625" i="1"/>
  <c r="E625" i="1"/>
  <c r="F625" i="1"/>
  <c r="C256" i="1"/>
  <c r="D256" i="1"/>
  <c r="E256" i="1"/>
  <c r="F256" i="1"/>
  <c r="C104" i="1"/>
  <c r="D104" i="1"/>
  <c r="E104" i="1"/>
  <c r="F104" i="1"/>
  <c r="C442" i="1"/>
  <c r="D442" i="1"/>
  <c r="E442" i="1"/>
  <c r="F442" i="1"/>
  <c r="C24" i="1"/>
  <c r="D24" i="1"/>
  <c r="E24" i="1"/>
  <c r="F24" i="1"/>
  <c r="C118" i="1"/>
  <c r="D118" i="1"/>
  <c r="E118" i="1"/>
  <c r="F118" i="1"/>
  <c r="C90" i="1"/>
  <c r="D90" i="1"/>
  <c r="E90" i="1"/>
  <c r="F90" i="1"/>
  <c r="C257" i="1"/>
  <c r="D257" i="1"/>
  <c r="E257" i="1"/>
  <c r="F257" i="1"/>
  <c r="C71" i="1"/>
  <c r="D71" i="1"/>
  <c r="E71" i="1"/>
  <c r="F71" i="1"/>
  <c r="C308" i="1"/>
  <c r="D308" i="1"/>
  <c r="E308" i="1"/>
  <c r="F308" i="1"/>
  <c r="C409" i="1"/>
  <c r="D409" i="1"/>
  <c r="E409" i="1"/>
  <c r="F409" i="1"/>
  <c r="C1493" i="1"/>
  <c r="D1493" i="1"/>
  <c r="E1493" i="1"/>
  <c r="F1493" i="1"/>
  <c r="C242" i="1"/>
  <c r="D242" i="1"/>
  <c r="E242" i="1"/>
  <c r="F242" i="1"/>
  <c r="C362" i="1"/>
  <c r="D362" i="1"/>
  <c r="E362" i="1"/>
  <c r="F362" i="1"/>
  <c r="C526" i="1"/>
  <c r="D526" i="1"/>
  <c r="E526" i="1"/>
  <c r="F526" i="1"/>
  <c r="C428" i="1"/>
  <c r="D428" i="1"/>
  <c r="E428" i="1"/>
  <c r="F428" i="1"/>
  <c r="C109" i="1"/>
  <c r="D109" i="1"/>
  <c r="E109" i="1"/>
  <c r="F109" i="1"/>
  <c r="C166" i="1"/>
  <c r="D166" i="1"/>
  <c r="E166" i="1"/>
  <c r="F166" i="1"/>
  <c r="C49" i="1"/>
  <c r="D49" i="1"/>
  <c r="E49" i="1"/>
  <c r="F49" i="1"/>
  <c r="C1878" i="1"/>
  <c r="D1878" i="1"/>
  <c r="E1878" i="1"/>
  <c r="F1878" i="1"/>
  <c r="C1371" i="1"/>
  <c r="D1371" i="1"/>
  <c r="E1371" i="1"/>
  <c r="F1371" i="1"/>
  <c r="C1879" i="1"/>
  <c r="D1879" i="1"/>
  <c r="E1879" i="1"/>
  <c r="F1879" i="1"/>
  <c r="C984" i="1"/>
  <c r="D984" i="1"/>
  <c r="E984" i="1"/>
  <c r="F984" i="1"/>
  <c r="C1313" i="1"/>
  <c r="D1313" i="1"/>
  <c r="E1313" i="1"/>
  <c r="F1313" i="1"/>
  <c r="C1816" i="1"/>
  <c r="D1816" i="1"/>
  <c r="E1816" i="1"/>
  <c r="F1816" i="1"/>
  <c r="C1811" i="1"/>
  <c r="D1811" i="1"/>
  <c r="E1811" i="1"/>
  <c r="F1811" i="1"/>
  <c r="C1592" i="1"/>
  <c r="D1592" i="1"/>
  <c r="E1592" i="1"/>
  <c r="F1592" i="1"/>
  <c r="C1318" i="1"/>
  <c r="D1318" i="1"/>
  <c r="E1318" i="1"/>
  <c r="F1318" i="1"/>
  <c r="C336" i="1"/>
  <c r="D336" i="1"/>
  <c r="E336" i="1"/>
  <c r="F336" i="1"/>
  <c r="C2024" i="1"/>
  <c r="D2024" i="1"/>
  <c r="E2024" i="1"/>
  <c r="F2024" i="1"/>
  <c r="C1164" i="1"/>
  <c r="D1164" i="1"/>
  <c r="E1164" i="1"/>
  <c r="F1164" i="1"/>
  <c r="C407" i="1"/>
  <c r="D407" i="1"/>
  <c r="E407" i="1"/>
  <c r="F407" i="1"/>
  <c r="C1223" i="1"/>
  <c r="D1223" i="1"/>
  <c r="E1223" i="1"/>
  <c r="F1223" i="1"/>
  <c r="C1199" i="1"/>
  <c r="D1199" i="1"/>
  <c r="E1199" i="1"/>
  <c r="F1199" i="1"/>
  <c r="C1159" i="1"/>
  <c r="D1159" i="1"/>
  <c r="E1159" i="1"/>
  <c r="F1159" i="1"/>
  <c r="C793" i="1"/>
  <c r="D793" i="1"/>
  <c r="E793" i="1"/>
  <c r="F793" i="1"/>
  <c r="C1859" i="1"/>
  <c r="D1859" i="1"/>
  <c r="E1859" i="1"/>
  <c r="F1859" i="1"/>
  <c r="C1860" i="1"/>
  <c r="D1860" i="1"/>
  <c r="E1860" i="1"/>
  <c r="F1860" i="1"/>
  <c r="C2050" i="1"/>
  <c r="D2050" i="1"/>
  <c r="E2050" i="1"/>
  <c r="F2050" i="1"/>
  <c r="C2134" i="1"/>
  <c r="D2134" i="1"/>
  <c r="E2134" i="1"/>
  <c r="F2134" i="1"/>
  <c r="C1905" i="1"/>
  <c r="D1905" i="1"/>
  <c r="E1905" i="1"/>
  <c r="F1905" i="1"/>
  <c r="C563" i="1"/>
  <c r="D563" i="1"/>
  <c r="E563" i="1"/>
  <c r="F563" i="1"/>
  <c r="C1988" i="1"/>
  <c r="D1988" i="1"/>
  <c r="E1988" i="1"/>
  <c r="F1988" i="1"/>
  <c r="C1914" i="1"/>
  <c r="D1914" i="1"/>
  <c r="E1914" i="1"/>
  <c r="F1914" i="1"/>
  <c r="C2018" i="1"/>
  <c r="D2018" i="1"/>
  <c r="E2018" i="1"/>
  <c r="F2018" i="1"/>
  <c r="C2153" i="1"/>
  <c r="D2153" i="1"/>
  <c r="E2153" i="1"/>
  <c r="F2153" i="1"/>
  <c r="C452" i="1"/>
  <c r="D452" i="1"/>
  <c r="E452" i="1"/>
  <c r="F452" i="1"/>
  <c r="C168" i="1"/>
  <c r="D168" i="1"/>
  <c r="E168" i="1"/>
  <c r="F168" i="1"/>
  <c r="C157" i="1"/>
  <c r="D157" i="1"/>
  <c r="E157" i="1"/>
  <c r="F157" i="1"/>
  <c r="C733" i="1"/>
  <c r="D733" i="1"/>
  <c r="E733" i="1"/>
  <c r="F733" i="1"/>
  <c r="C1904" i="1"/>
  <c r="D1904" i="1"/>
  <c r="E1904" i="1"/>
  <c r="F1904" i="1"/>
  <c r="C1851" i="1"/>
  <c r="D1851" i="1"/>
  <c r="E1851" i="1"/>
  <c r="F1851" i="1"/>
  <c r="C1966" i="1"/>
  <c r="D1966" i="1"/>
  <c r="E1966" i="1"/>
  <c r="F1966" i="1"/>
  <c r="C1185" i="1"/>
  <c r="D1185" i="1"/>
  <c r="E1185" i="1"/>
  <c r="F1185" i="1"/>
  <c r="C1264" i="1"/>
  <c r="D1264" i="1"/>
  <c r="E1264" i="1"/>
  <c r="F1264" i="1"/>
  <c r="C1704" i="1"/>
  <c r="D1704" i="1"/>
  <c r="E1704" i="1"/>
  <c r="F1704" i="1"/>
  <c r="C829" i="1"/>
  <c r="D829" i="1"/>
  <c r="E829" i="1"/>
  <c r="F829" i="1"/>
  <c r="C1641" i="1"/>
  <c r="D1641" i="1"/>
  <c r="E1641" i="1"/>
  <c r="F1641" i="1"/>
  <c r="C586" i="1"/>
  <c r="D586" i="1"/>
  <c r="E586" i="1"/>
  <c r="F586" i="1"/>
  <c r="C1103" i="1"/>
  <c r="D1103" i="1"/>
  <c r="E1103" i="1"/>
  <c r="F1103" i="1"/>
  <c r="C1298" i="1"/>
  <c r="D1298" i="1"/>
  <c r="E1298" i="1"/>
  <c r="F1298" i="1"/>
  <c r="C1184" i="1"/>
  <c r="D1184" i="1"/>
  <c r="E1184" i="1"/>
  <c r="F1184" i="1"/>
  <c r="C1406" i="1"/>
  <c r="D1406" i="1"/>
  <c r="E1406" i="1"/>
  <c r="F1406" i="1"/>
  <c r="C1425" i="1"/>
  <c r="D1425" i="1"/>
  <c r="E1425" i="1"/>
  <c r="F1425" i="1"/>
  <c r="C1388" i="1"/>
  <c r="D1388" i="1"/>
  <c r="E1388" i="1"/>
  <c r="F1388" i="1"/>
  <c r="C1575" i="1"/>
  <c r="D1575" i="1"/>
  <c r="E1575" i="1"/>
  <c r="F1575" i="1"/>
  <c r="C1719" i="1"/>
  <c r="D1719" i="1"/>
  <c r="E1719" i="1"/>
  <c r="F1719" i="1"/>
  <c r="C1190" i="1"/>
  <c r="D1190" i="1"/>
  <c r="E1190" i="1"/>
  <c r="F1190" i="1"/>
  <c r="C203" i="1"/>
  <c r="D203" i="1"/>
  <c r="E203" i="1"/>
  <c r="F203" i="1"/>
  <c r="C369" i="1"/>
  <c r="D369" i="1"/>
  <c r="E369" i="1"/>
  <c r="F369" i="1"/>
  <c r="C1056" i="1"/>
  <c r="D1056" i="1"/>
  <c r="E1056" i="1"/>
  <c r="F1056" i="1"/>
  <c r="C1557" i="1"/>
  <c r="D1557" i="1"/>
  <c r="E1557" i="1"/>
  <c r="F1557" i="1"/>
  <c r="C46" i="1"/>
  <c r="D46" i="1"/>
  <c r="E46" i="1"/>
  <c r="F46" i="1"/>
  <c r="C489" i="1"/>
  <c r="D489" i="1"/>
  <c r="E489" i="1"/>
  <c r="F489" i="1"/>
  <c r="C103" i="1"/>
  <c r="D103" i="1"/>
  <c r="E103" i="1"/>
  <c r="F103" i="1"/>
  <c r="C126" i="1"/>
  <c r="D126" i="1"/>
  <c r="E126" i="1"/>
  <c r="F126" i="1"/>
  <c r="C146" i="1"/>
  <c r="D146" i="1"/>
  <c r="E146" i="1"/>
  <c r="F146" i="1"/>
  <c r="C173" i="1"/>
  <c r="D173" i="1"/>
  <c r="E173" i="1"/>
  <c r="F173" i="1"/>
  <c r="C183" i="1"/>
  <c r="D183" i="1"/>
  <c r="E183" i="1"/>
  <c r="F183" i="1"/>
  <c r="C902" i="1"/>
  <c r="D902" i="1"/>
  <c r="E902" i="1"/>
  <c r="F902" i="1"/>
  <c r="C1186" i="1"/>
  <c r="D1186" i="1"/>
  <c r="E1186" i="1"/>
  <c r="F1186" i="1"/>
  <c r="C907" i="1"/>
  <c r="D907" i="1"/>
  <c r="E907" i="1"/>
  <c r="F907" i="1"/>
  <c r="C1684" i="1"/>
  <c r="D1684" i="1"/>
  <c r="E1684" i="1"/>
  <c r="F1684" i="1"/>
  <c r="C937" i="1"/>
  <c r="D937" i="1"/>
  <c r="E937" i="1"/>
  <c r="F937" i="1"/>
  <c r="C850" i="1"/>
  <c r="D850" i="1"/>
  <c r="E850" i="1"/>
  <c r="F850" i="1"/>
  <c r="C64" i="1"/>
  <c r="D64" i="1"/>
  <c r="E64" i="1"/>
  <c r="F64" i="1"/>
  <c r="C59" i="1"/>
  <c r="D59" i="1"/>
  <c r="E59" i="1"/>
  <c r="F59" i="1"/>
  <c r="C88" i="1"/>
  <c r="D88" i="1"/>
  <c r="E88" i="1"/>
  <c r="F88" i="1"/>
  <c r="C1021" i="1"/>
  <c r="D1021" i="1"/>
  <c r="E1021" i="1"/>
  <c r="F1021" i="1"/>
  <c r="C898" i="1"/>
  <c r="D898" i="1"/>
  <c r="E898" i="1"/>
  <c r="F898" i="1"/>
  <c r="C834" i="1"/>
  <c r="D834" i="1"/>
  <c r="E834" i="1"/>
  <c r="F834" i="1"/>
  <c r="C314" i="1"/>
  <c r="D314" i="1"/>
  <c r="E314" i="1"/>
  <c r="F314" i="1"/>
  <c r="C543" i="1"/>
  <c r="D543" i="1"/>
  <c r="E543" i="1"/>
  <c r="F543" i="1"/>
  <c r="C666" i="1"/>
  <c r="D666" i="1"/>
  <c r="E666" i="1"/>
  <c r="F666" i="1"/>
  <c r="C119" i="1"/>
  <c r="D119" i="1"/>
  <c r="E119" i="1"/>
  <c r="F119" i="1"/>
  <c r="C199" i="1"/>
  <c r="D199" i="1"/>
  <c r="E199" i="1"/>
  <c r="F199" i="1"/>
  <c r="C110" i="1"/>
  <c r="D110" i="1"/>
  <c r="E110" i="1"/>
  <c r="F110" i="1"/>
  <c r="C355" i="1"/>
  <c r="D355" i="1"/>
  <c r="E355" i="1"/>
  <c r="F355" i="1"/>
  <c r="C508" i="1"/>
  <c r="D508" i="1"/>
  <c r="E508" i="1"/>
  <c r="F508" i="1"/>
  <c r="C692" i="1"/>
  <c r="D692" i="1"/>
  <c r="E692" i="1"/>
  <c r="F692" i="1"/>
  <c r="C770" i="1"/>
  <c r="D770" i="1"/>
  <c r="E770" i="1"/>
  <c r="F770" i="1"/>
  <c r="C506" i="1"/>
  <c r="D506" i="1"/>
  <c r="E506" i="1"/>
  <c r="F506" i="1"/>
  <c r="C676" i="1"/>
  <c r="D676" i="1"/>
  <c r="E676" i="1"/>
  <c r="F676" i="1"/>
  <c r="C690" i="1"/>
  <c r="D690" i="1"/>
  <c r="E690" i="1"/>
  <c r="F690" i="1"/>
  <c r="C878" i="1"/>
  <c r="D878" i="1"/>
  <c r="E878" i="1"/>
  <c r="F878" i="1"/>
  <c r="C940" i="1"/>
  <c r="D940" i="1"/>
  <c r="E940" i="1"/>
  <c r="F940" i="1"/>
  <c r="C1326" i="1"/>
  <c r="D1326" i="1"/>
  <c r="E1326" i="1"/>
  <c r="F1326" i="1"/>
  <c r="C1461" i="1"/>
  <c r="D1461" i="1"/>
  <c r="E1461" i="1"/>
  <c r="F1461" i="1"/>
  <c r="C1253" i="1"/>
  <c r="D1253" i="1"/>
  <c r="E1253" i="1"/>
  <c r="F1253" i="1"/>
  <c r="C1775" i="1"/>
  <c r="D1775" i="1"/>
  <c r="E1775" i="1"/>
  <c r="F1775" i="1"/>
  <c r="C1756" i="1"/>
  <c r="D1756" i="1"/>
  <c r="E1756" i="1"/>
  <c r="F1756" i="1"/>
  <c r="C1528" i="1"/>
  <c r="D1528" i="1"/>
  <c r="E1528" i="1"/>
  <c r="F1528" i="1"/>
  <c r="C1457" i="1"/>
  <c r="D1457" i="1"/>
  <c r="E1457" i="1"/>
  <c r="F1457" i="1"/>
  <c r="C1580" i="1"/>
  <c r="D1580" i="1"/>
  <c r="E1580" i="1"/>
  <c r="F1580" i="1"/>
  <c r="C1595" i="1"/>
  <c r="D1595" i="1"/>
  <c r="E1595" i="1"/>
  <c r="F1595" i="1"/>
  <c r="C1971" i="1"/>
  <c r="D1971" i="1"/>
  <c r="E1971" i="1"/>
  <c r="F1971" i="1"/>
  <c r="C1129" i="1"/>
  <c r="D1129" i="1"/>
  <c r="E1129" i="1"/>
  <c r="F1129" i="1"/>
  <c r="C1196" i="1"/>
  <c r="D1196" i="1"/>
  <c r="E1196" i="1"/>
  <c r="F1196" i="1"/>
  <c r="C2092" i="1"/>
  <c r="D2092" i="1"/>
  <c r="E2092" i="1"/>
  <c r="F2092" i="1"/>
  <c r="C562" i="1"/>
  <c r="D562" i="1"/>
  <c r="E562" i="1"/>
  <c r="F562" i="1"/>
  <c r="C604" i="1"/>
  <c r="D604" i="1"/>
  <c r="E604" i="1"/>
  <c r="F604" i="1"/>
  <c r="C650" i="1"/>
  <c r="D650" i="1"/>
  <c r="E650" i="1"/>
  <c r="F650" i="1"/>
  <c r="C980" i="1"/>
  <c r="D980" i="1"/>
  <c r="E980" i="1"/>
  <c r="F980" i="1"/>
  <c r="C1152" i="1"/>
  <c r="D1152" i="1"/>
  <c r="E1152" i="1"/>
  <c r="F1152" i="1"/>
  <c r="C509" i="1"/>
  <c r="D509" i="1"/>
  <c r="E509" i="1"/>
  <c r="F509" i="1"/>
  <c r="C205" i="1"/>
  <c r="D205" i="1"/>
  <c r="E205" i="1"/>
  <c r="F205" i="1"/>
  <c r="C914" i="1"/>
  <c r="D914" i="1"/>
  <c r="E914" i="1"/>
  <c r="F914" i="1"/>
  <c r="C753" i="1"/>
  <c r="D753" i="1"/>
  <c r="E753" i="1"/>
  <c r="F753" i="1"/>
  <c r="C572" i="1"/>
  <c r="D572" i="1"/>
  <c r="E572" i="1"/>
  <c r="F572" i="1"/>
  <c r="C626" i="1"/>
  <c r="D626" i="1"/>
  <c r="E626" i="1"/>
  <c r="F626" i="1"/>
  <c r="C715" i="1"/>
  <c r="D715" i="1"/>
  <c r="E715" i="1"/>
  <c r="F715" i="1"/>
  <c r="C826" i="1"/>
  <c r="D826" i="1"/>
  <c r="E826" i="1"/>
  <c r="F826" i="1"/>
  <c r="C950" i="1"/>
  <c r="D950" i="1"/>
  <c r="E950" i="1"/>
  <c r="F950" i="1"/>
  <c r="C1002" i="1"/>
  <c r="D1002" i="1"/>
  <c r="E1002" i="1"/>
  <c r="F1002" i="1"/>
  <c r="C1098" i="1"/>
  <c r="D1098" i="1"/>
  <c r="E1098" i="1"/>
  <c r="F1098" i="1"/>
  <c r="C52" i="1"/>
  <c r="D52" i="1"/>
  <c r="E52" i="1"/>
  <c r="F52" i="1"/>
  <c r="C1162" i="1"/>
  <c r="D1162" i="1"/>
  <c r="E1162" i="1"/>
  <c r="F1162" i="1"/>
  <c r="C97" i="1"/>
  <c r="D97" i="1"/>
  <c r="E97" i="1"/>
  <c r="F97" i="1"/>
  <c r="C279" i="1"/>
  <c r="D279" i="1"/>
  <c r="E279" i="1"/>
  <c r="F279" i="1"/>
  <c r="C507" i="1"/>
  <c r="D507" i="1"/>
  <c r="E507" i="1"/>
  <c r="F507" i="1"/>
  <c r="C553" i="1"/>
  <c r="D553" i="1"/>
  <c r="E553" i="1"/>
  <c r="F553" i="1"/>
  <c r="C181" i="1"/>
  <c r="D181" i="1"/>
  <c r="E181" i="1"/>
  <c r="F181" i="1"/>
  <c r="C1288" i="1"/>
  <c r="D1288" i="1"/>
  <c r="E1288" i="1"/>
  <c r="F1288" i="1"/>
  <c r="C1204" i="1"/>
  <c r="D1204" i="1"/>
  <c r="E1204" i="1"/>
  <c r="F1204" i="1"/>
  <c r="C2008" i="1"/>
  <c r="D2008" i="1"/>
  <c r="E2008" i="1"/>
  <c r="F2008" i="1"/>
  <c r="C158" i="1"/>
  <c r="D158" i="1"/>
  <c r="E158" i="1"/>
  <c r="F158" i="1"/>
  <c r="C196" i="1"/>
  <c r="D196" i="1"/>
  <c r="E196" i="1"/>
  <c r="F196" i="1"/>
  <c r="C719" i="1"/>
  <c r="D719" i="1"/>
  <c r="E719" i="1"/>
  <c r="F719" i="1"/>
  <c r="C320" i="1"/>
  <c r="D320" i="1"/>
  <c r="E320" i="1"/>
  <c r="F320" i="1"/>
  <c r="C1126" i="1"/>
  <c r="D1126" i="1"/>
  <c r="E1126" i="1"/>
  <c r="F1126" i="1"/>
  <c r="C1175" i="1"/>
  <c r="D1175" i="1"/>
  <c r="E1175" i="1"/>
  <c r="F1175" i="1"/>
  <c r="C274" i="1"/>
  <c r="D274" i="1"/>
  <c r="E274" i="1"/>
  <c r="F274" i="1"/>
  <c r="C273" i="1"/>
  <c r="D273" i="1"/>
  <c r="E273" i="1"/>
  <c r="F273" i="1"/>
  <c r="C8" i="1"/>
  <c r="D8" i="1"/>
  <c r="E8" i="1"/>
  <c r="F8" i="1"/>
  <c r="C623" i="1"/>
  <c r="D623" i="1"/>
  <c r="E623" i="1"/>
  <c r="F623" i="1"/>
  <c r="C31" i="1"/>
  <c r="D31" i="1"/>
  <c r="E31" i="1"/>
  <c r="F31" i="1"/>
  <c r="C54" i="1"/>
  <c r="D54" i="1"/>
  <c r="E54" i="1"/>
  <c r="F54" i="1"/>
  <c r="C81" i="1"/>
  <c r="D81" i="1"/>
  <c r="E81" i="1"/>
  <c r="F81" i="1"/>
  <c r="C17" i="1"/>
  <c r="D17" i="1"/>
  <c r="E17" i="1"/>
  <c r="F17" i="1"/>
  <c r="C488" i="1"/>
  <c r="D488" i="1"/>
  <c r="E488" i="1"/>
  <c r="F488" i="1"/>
  <c r="C253" i="1"/>
  <c r="D253" i="1"/>
  <c r="E253" i="1"/>
  <c r="F253" i="1"/>
  <c r="C672" i="1"/>
  <c r="D672" i="1"/>
  <c r="E672" i="1"/>
  <c r="F672" i="1"/>
  <c r="C1718" i="1"/>
  <c r="D1718" i="1"/>
  <c r="E1718" i="1"/>
  <c r="F1718" i="1"/>
  <c r="C185" i="1"/>
  <c r="D185" i="1"/>
  <c r="E185" i="1"/>
  <c r="F185" i="1"/>
  <c r="C754" i="1"/>
  <c r="D754" i="1"/>
  <c r="E754" i="1"/>
  <c r="F754" i="1"/>
  <c r="C55" i="1"/>
  <c r="D55" i="1"/>
  <c r="E55" i="1"/>
  <c r="F55" i="1"/>
  <c r="C438" i="1"/>
  <c r="D438" i="1"/>
  <c r="E438" i="1"/>
  <c r="F438" i="1"/>
  <c r="C870" i="1"/>
  <c r="D870" i="1"/>
  <c r="E870" i="1"/>
  <c r="F870" i="1"/>
  <c r="C817" i="1"/>
  <c r="D817" i="1"/>
  <c r="E817" i="1"/>
  <c r="F817" i="1"/>
  <c r="C124" i="1"/>
  <c r="D124" i="1"/>
  <c r="E124" i="1"/>
  <c r="F124" i="1"/>
  <c r="C429" i="1"/>
  <c r="D429" i="1"/>
  <c r="E429" i="1"/>
  <c r="F429" i="1"/>
  <c r="C852" i="1"/>
  <c r="D852" i="1"/>
  <c r="E852" i="1"/>
  <c r="F852" i="1"/>
  <c r="C197" i="1"/>
  <c r="D197" i="1"/>
  <c r="E197" i="1"/>
  <c r="F197" i="1"/>
  <c r="C44" i="1"/>
  <c r="D44" i="1"/>
  <c r="E44" i="1"/>
  <c r="F44" i="1"/>
  <c r="C7" i="1"/>
  <c r="D7" i="1"/>
  <c r="E7" i="1"/>
  <c r="F7" i="1"/>
  <c r="C2" i="1"/>
  <c r="D2" i="1"/>
  <c r="E2" i="1"/>
  <c r="F2" i="1"/>
  <c r="C3" i="1"/>
  <c r="D3" i="1"/>
  <c r="E3" i="1"/>
  <c r="F3" i="1"/>
  <c r="C9" i="1"/>
  <c r="D9" i="1"/>
  <c r="E9" i="1"/>
  <c r="F9" i="1"/>
  <c r="C2304" i="1"/>
  <c r="D2304" i="1"/>
  <c r="E2304" i="1"/>
  <c r="F2304" i="1"/>
  <c r="C2286" i="1"/>
  <c r="D2286" i="1"/>
  <c r="E2286" i="1"/>
  <c r="F2286" i="1"/>
  <c r="C2310" i="1"/>
  <c r="D2310" i="1"/>
  <c r="E2310" i="1"/>
  <c r="F2310" i="1"/>
  <c r="C1950" i="1"/>
  <c r="D1950" i="1"/>
  <c r="E1950" i="1"/>
  <c r="F1950" i="1"/>
  <c r="C1069" i="1"/>
  <c r="D1069" i="1"/>
  <c r="E1069" i="1"/>
  <c r="F1069" i="1"/>
  <c r="C816" i="1"/>
  <c r="D816" i="1"/>
  <c r="E816" i="1"/>
  <c r="F816" i="1"/>
  <c r="C1786" i="1"/>
  <c r="D1786" i="1"/>
  <c r="E1786" i="1"/>
  <c r="F1786" i="1"/>
  <c r="C2207" i="1"/>
  <c r="D2207" i="1"/>
  <c r="E2207" i="1"/>
  <c r="F2207" i="1"/>
  <c r="C2200" i="1"/>
  <c r="D2200" i="1"/>
  <c r="E2200" i="1"/>
  <c r="F2200" i="1"/>
  <c r="C2076" i="1"/>
  <c r="D2076" i="1"/>
  <c r="E2076" i="1"/>
  <c r="F2076" i="1"/>
  <c r="C856" i="1"/>
  <c r="D856" i="1"/>
  <c r="E856" i="1"/>
  <c r="F856" i="1"/>
  <c r="C1539" i="1"/>
  <c r="D1539" i="1"/>
  <c r="E1539" i="1"/>
  <c r="F1539" i="1"/>
  <c r="C2122" i="1"/>
  <c r="D2122" i="1"/>
  <c r="E2122" i="1"/>
  <c r="F2122" i="1"/>
  <c r="C1032" i="1"/>
  <c r="D1032" i="1"/>
  <c r="E1032" i="1"/>
  <c r="F1032" i="1"/>
  <c r="C776" i="1"/>
  <c r="D776" i="1"/>
  <c r="E776" i="1"/>
  <c r="F776" i="1"/>
  <c r="C1398" i="1"/>
  <c r="D1398" i="1"/>
  <c r="E1398" i="1"/>
  <c r="F1398" i="1"/>
  <c r="C1287" i="1"/>
  <c r="D1287" i="1"/>
  <c r="E1287" i="1"/>
  <c r="F1287" i="1"/>
  <c r="C292" i="1"/>
  <c r="D292" i="1"/>
  <c r="E292" i="1"/>
  <c r="F292" i="1"/>
  <c r="C2277" i="1"/>
  <c r="D2277" i="1"/>
  <c r="E2277" i="1"/>
  <c r="F2277" i="1"/>
  <c r="C2278" i="1"/>
  <c r="D2278" i="1"/>
  <c r="E2278" i="1"/>
  <c r="F2278" i="1"/>
  <c r="C2135" i="1"/>
  <c r="D2135" i="1"/>
  <c r="E2135" i="1"/>
  <c r="F2135" i="1"/>
  <c r="C2276" i="1"/>
  <c r="D2276" i="1"/>
  <c r="E2276" i="1"/>
  <c r="F2276" i="1"/>
  <c r="C2073" i="1"/>
  <c r="D2073" i="1"/>
  <c r="E2073" i="1"/>
  <c r="F2073" i="1"/>
  <c r="C775" i="1"/>
  <c r="D775" i="1"/>
  <c r="E775" i="1"/>
  <c r="F775" i="1"/>
  <c r="C479" i="1"/>
  <c r="D479" i="1"/>
  <c r="E479" i="1"/>
  <c r="F479" i="1"/>
  <c r="C1635" i="1"/>
  <c r="D1635" i="1"/>
  <c r="E1635" i="1"/>
  <c r="F1635" i="1"/>
  <c r="C1793" i="1"/>
  <c r="D1793" i="1"/>
  <c r="E1793" i="1"/>
  <c r="F1793" i="1"/>
  <c r="C1906" i="1"/>
  <c r="D1906" i="1"/>
  <c r="E1906" i="1"/>
  <c r="F1906" i="1"/>
  <c r="C787" i="1"/>
  <c r="D787" i="1"/>
  <c r="E787" i="1"/>
  <c r="F787" i="1"/>
  <c r="C929" i="1"/>
  <c r="D929" i="1"/>
  <c r="E929" i="1"/>
  <c r="F929" i="1"/>
  <c r="C1332" i="1"/>
  <c r="D1332" i="1"/>
  <c r="E1332" i="1"/>
  <c r="F1332" i="1"/>
  <c r="C649" i="1"/>
  <c r="D649" i="1"/>
  <c r="E649" i="1"/>
  <c r="F649" i="1"/>
  <c r="C648" i="1"/>
  <c r="D648" i="1"/>
  <c r="E648" i="1"/>
  <c r="F648" i="1"/>
  <c r="C786" i="1"/>
  <c r="D786" i="1"/>
  <c r="E786" i="1"/>
  <c r="F786" i="1"/>
  <c r="C1845" i="1"/>
  <c r="D1845" i="1"/>
  <c r="E1845" i="1"/>
  <c r="F1845" i="1"/>
  <c r="C1956" i="1"/>
  <c r="D1956" i="1"/>
  <c r="E1956" i="1"/>
  <c r="F1956" i="1"/>
  <c r="C1047" i="1"/>
  <c r="D1047" i="1"/>
  <c r="E1047" i="1"/>
  <c r="F1047" i="1"/>
  <c r="C2314" i="1"/>
  <c r="D2314" i="1"/>
  <c r="E2314" i="1"/>
  <c r="F2314" i="1"/>
  <c r="C2072" i="1"/>
  <c r="D2072" i="1"/>
  <c r="E2072" i="1"/>
  <c r="F2072" i="1"/>
  <c r="C1871" i="1"/>
  <c r="D1871" i="1"/>
  <c r="E1871" i="1"/>
  <c r="F1871" i="1"/>
  <c r="C1910" i="1"/>
  <c r="D1910" i="1"/>
  <c r="E1910" i="1"/>
  <c r="F1910" i="1"/>
  <c r="C2115" i="1"/>
  <c r="D2115" i="1"/>
  <c r="E2115" i="1"/>
  <c r="F2115" i="1"/>
  <c r="C1470" i="1"/>
  <c r="D1470" i="1"/>
  <c r="E1470" i="1"/>
  <c r="F1470" i="1"/>
  <c r="C664" i="1"/>
  <c r="D664" i="1"/>
  <c r="E664" i="1"/>
  <c r="F664" i="1"/>
  <c r="C704" i="1"/>
  <c r="D704" i="1"/>
  <c r="E704" i="1"/>
  <c r="F704" i="1"/>
  <c r="C1679" i="1"/>
  <c r="D1679" i="1"/>
  <c r="E1679" i="1"/>
  <c r="F1679" i="1"/>
  <c r="C1727" i="1"/>
  <c r="D1727" i="1"/>
  <c r="E1727" i="1"/>
  <c r="F1727" i="1"/>
  <c r="C1792" i="1"/>
  <c r="D1792" i="1"/>
  <c r="E1792" i="1"/>
  <c r="F1792" i="1"/>
  <c r="C1901" i="1"/>
  <c r="D1901" i="1"/>
  <c r="E1901" i="1"/>
  <c r="F1901" i="1"/>
  <c r="C1797" i="1"/>
  <c r="D1797" i="1"/>
  <c r="E1797" i="1"/>
  <c r="F1797" i="1"/>
  <c r="C593" i="1"/>
  <c r="D593" i="1"/>
  <c r="E593" i="1"/>
  <c r="F593" i="1"/>
  <c r="C1722" i="1"/>
  <c r="D1722" i="1"/>
  <c r="E1722" i="1"/>
  <c r="F1722" i="1"/>
  <c r="C498" i="1"/>
  <c r="D498" i="1"/>
  <c r="E498" i="1"/>
  <c r="F498" i="1"/>
  <c r="C1686" i="1"/>
  <c r="D1686" i="1"/>
  <c r="E1686" i="1"/>
  <c r="F1686" i="1"/>
  <c r="C1621" i="1"/>
  <c r="D1621" i="1"/>
  <c r="E1621" i="1"/>
  <c r="F1621" i="1"/>
  <c r="C1698" i="1"/>
  <c r="D1698" i="1"/>
  <c r="E1698" i="1"/>
  <c r="F1698" i="1"/>
  <c r="C1500" i="1"/>
  <c r="D1500" i="1"/>
  <c r="E1500" i="1"/>
  <c r="F1500" i="1"/>
  <c r="C1809" i="1"/>
  <c r="D1809" i="1"/>
  <c r="E1809" i="1"/>
  <c r="F1809" i="1"/>
  <c r="C1581" i="1"/>
  <c r="D1581" i="1"/>
  <c r="E1581" i="1"/>
  <c r="F1581" i="1"/>
  <c r="C1639" i="1"/>
  <c r="D1639" i="1"/>
  <c r="E1639" i="1"/>
  <c r="F1639" i="1"/>
  <c r="C1558" i="1"/>
  <c r="D1558" i="1"/>
  <c r="E1558" i="1"/>
  <c r="F1558" i="1"/>
  <c r="C1654" i="1"/>
  <c r="D1654" i="1"/>
  <c r="E1654" i="1"/>
  <c r="F1654" i="1"/>
  <c r="C1518" i="1"/>
  <c r="D1518" i="1"/>
  <c r="E1518" i="1"/>
  <c r="F1518" i="1"/>
  <c r="C1605" i="1"/>
  <c r="D1605" i="1"/>
  <c r="E1605" i="1"/>
  <c r="F1605" i="1"/>
  <c r="C1559" i="1"/>
  <c r="D1559" i="1"/>
  <c r="E1559" i="1"/>
  <c r="F1559" i="1"/>
  <c r="C1749" i="1"/>
  <c r="D1749" i="1"/>
  <c r="E1749" i="1"/>
  <c r="F1749" i="1"/>
  <c r="C1569" i="1"/>
  <c r="D1569" i="1"/>
  <c r="E1569" i="1"/>
  <c r="F1569" i="1"/>
  <c r="C1570" i="1"/>
  <c r="D1570" i="1"/>
  <c r="E1570" i="1"/>
  <c r="F1570" i="1"/>
  <c r="C1422" i="1"/>
  <c r="D1422" i="1"/>
  <c r="E1422" i="1"/>
  <c r="F1422" i="1"/>
  <c r="C1694" i="1"/>
  <c r="D1694" i="1"/>
  <c r="E1694" i="1"/>
  <c r="F1694" i="1"/>
  <c r="C1294" i="1"/>
  <c r="D1294" i="1"/>
  <c r="E1294" i="1"/>
  <c r="F1294" i="1"/>
  <c r="C1344" i="1"/>
  <c r="D1344" i="1"/>
  <c r="E1344" i="1"/>
  <c r="F1344" i="1"/>
  <c r="C1412" i="1"/>
  <c r="D1412" i="1"/>
  <c r="E1412" i="1"/>
  <c r="F1412" i="1"/>
  <c r="C1463" i="1"/>
  <c r="D1463" i="1"/>
  <c r="E1463" i="1"/>
  <c r="F1463" i="1"/>
  <c r="C2285" i="1"/>
  <c r="D2285" i="1"/>
  <c r="E2285" i="1"/>
  <c r="F2285" i="1"/>
  <c r="C1300" i="1"/>
  <c r="D1300" i="1"/>
  <c r="E1300" i="1"/>
  <c r="F1300" i="1"/>
  <c r="C1315" i="1"/>
  <c r="D1315" i="1"/>
  <c r="E1315" i="1"/>
  <c r="F1315" i="1"/>
  <c r="C930" i="1"/>
  <c r="D930" i="1"/>
  <c r="E930" i="1"/>
  <c r="F930" i="1"/>
  <c r="C1275" i="1"/>
  <c r="D1275" i="1"/>
  <c r="E1275" i="1"/>
  <c r="F1275" i="1"/>
  <c r="C38" i="1"/>
  <c r="D38" i="1"/>
  <c r="E38" i="1"/>
  <c r="F38" i="1"/>
  <c r="C2114" i="1"/>
  <c r="D2114" i="1"/>
  <c r="E2114" i="1"/>
  <c r="F2114" i="1"/>
  <c r="C1214" i="1"/>
  <c r="D1214" i="1"/>
  <c r="E1214" i="1"/>
  <c r="F1214" i="1"/>
  <c r="C577" i="1"/>
  <c r="D577" i="1"/>
  <c r="E577" i="1"/>
  <c r="F577" i="1"/>
  <c r="C819" i="1"/>
  <c r="D819" i="1"/>
  <c r="E819" i="1"/>
  <c r="F819" i="1"/>
  <c r="C617" i="1"/>
  <c r="D617" i="1"/>
  <c r="E617" i="1"/>
  <c r="F617" i="1"/>
  <c r="C2019" i="1"/>
  <c r="D2019" i="1"/>
  <c r="E2019" i="1"/>
  <c r="F2019" i="1"/>
  <c r="C1983" i="1"/>
  <c r="D1983" i="1"/>
  <c r="E1983" i="1"/>
  <c r="F1983" i="1"/>
  <c r="C703" i="1"/>
  <c r="D703" i="1"/>
  <c r="E703" i="1"/>
  <c r="F703" i="1"/>
  <c r="C2183" i="1"/>
  <c r="D2183" i="1"/>
  <c r="E2183" i="1"/>
  <c r="F2183" i="1"/>
  <c r="C2104" i="1"/>
  <c r="D2104" i="1"/>
  <c r="E2104" i="1"/>
  <c r="F2104" i="1"/>
  <c r="C928" i="1"/>
  <c r="D928" i="1"/>
  <c r="E928" i="1"/>
  <c r="F928" i="1"/>
  <c r="C1209" i="1"/>
  <c r="D1209" i="1"/>
  <c r="E1209" i="1"/>
  <c r="F1209" i="1"/>
  <c r="C1670" i="1"/>
  <c r="D1670" i="1"/>
  <c r="E1670" i="1"/>
  <c r="F1670" i="1"/>
  <c r="C2306" i="1"/>
  <c r="D2306" i="1"/>
  <c r="E2306" i="1"/>
  <c r="F2306" i="1"/>
  <c r="C447" i="1"/>
  <c r="D447" i="1"/>
  <c r="E447" i="1"/>
  <c r="F447" i="1"/>
  <c r="C1283" i="1"/>
  <c r="D1283" i="1"/>
  <c r="E1283" i="1"/>
  <c r="F1283" i="1"/>
  <c r="C1689" i="1"/>
  <c r="D1689" i="1"/>
  <c r="E1689" i="1"/>
  <c r="F1689" i="1"/>
  <c r="C1378" i="1"/>
  <c r="D1378" i="1"/>
  <c r="E1378" i="1"/>
  <c r="F1378" i="1"/>
  <c r="C960" i="1"/>
  <c r="D960" i="1"/>
  <c r="E960" i="1"/>
  <c r="F960" i="1"/>
  <c r="C277" i="1"/>
  <c r="D277" i="1"/>
  <c r="E277" i="1"/>
  <c r="F277" i="1"/>
  <c r="C836" i="1"/>
  <c r="D836" i="1"/>
  <c r="E836" i="1"/>
  <c r="F836" i="1"/>
  <c r="C956" i="1"/>
  <c r="D956" i="1"/>
  <c r="E956" i="1"/>
  <c r="F956" i="1"/>
  <c r="C925" i="1"/>
  <c r="D925" i="1"/>
  <c r="E925" i="1"/>
  <c r="F925" i="1"/>
  <c r="C1788" i="1"/>
  <c r="D1788" i="1"/>
  <c r="E1788" i="1"/>
  <c r="F1788" i="1"/>
  <c r="C1215" i="1"/>
  <c r="D1215" i="1"/>
  <c r="E1215" i="1"/>
  <c r="F1215" i="1"/>
  <c r="C204" i="1"/>
  <c r="D204" i="1"/>
  <c r="E204" i="1"/>
  <c r="F204" i="1"/>
  <c r="C680" i="1"/>
  <c r="D680" i="1"/>
  <c r="E680" i="1"/>
  <c r="F680" i="1"/>
  <c r="C590" i="1"/>
  <c r="D590" i="1"/>
  <c r="E590" i="1"/>
  <c r="F590" i="1"/>
  <c r="C876" i="1"/>
  <c r="D876" i="1"/>
  <c r="E876" i="1"/>
  <c r="F876" i="1"/>
  <c r="C1460" i="1"/>
  <c r="D1460" i="1"/>
  <c r="E1460" i="1"/>
  <c r="F1460" i="1"/>
  <c r="C2054" i="1"/>
  <c r="D2054" i="1"/>
  <c r="E2054" i="1"/>
  <c r="F2054" i="1"/>
  <c r="C2198" i="1"/>
  <c r="D2198" i="1"/>
  <c r="E2198" i="1"/>
  <c r="F2198" i="1"/>
  <c r="C880" i="1"/>
  <c r="D880" i="1"/>
  <c r="E880" i="1"/>
  <c r="F880" i="1"/>
  <c r="C1084" i="1"/>
  <c r="D1084" i="1"/>
  <c r="E1084" i="1"/>
  <c r="F1084" i="1"/>
  <c r="C778" i="1"/>
  <c r="D778" i="1"/>
  <c r="E778" i="1"/>
  <c r="F778" i="1"/>
  <c r="C377" i="1"/>
  <c r="D377" i="1"/>
  <c r="E377" i="1"/>
  <c r="F377" i="1"/>
  <c r="C1173" i="1"/>
  <c r="D1173" i="1"/>
  <c r="E1173" i="1"/>
  <c r="F1173" i="1"/>
  <c r="C341" i="1"/>
  <c r="D341" i="1"/>
  <c r="E341" i="1"/>
  <c r="F341" i="1"/>
  <c r="C1050" i="1"/>
  <c r="D1050" i="1"/>
  <c r="E1050" i="1"/>
  <c r="F1050" i="1"/>
  <c r="C1125" i="1"/>
  <c r="D1125" i="1"/>
  <c r="E1125" i="1"/>
  <c r="F1125" i="1"/>
  <c r="C37" i="1"/>
  <c r="D37" i="1"/>
  <c r="E37" i="1"/>
  <c r="F37" i="1"/>
  <c r="C329" i="1"/>
  <c r="D329" i="1"/>
  <c r="E329" i="1"/>
  <c r="F329" i="1"/>
  <c r="C2217" i="1"/>
  <c r="D2217" i="1"/>
  <c r="E2217" i="1"/>
  <c r="F2217" i="1"/>
  <c r="C269" i="1"/>
  <c r="D269" i="1"/>
  <c r="E269" i="1"/>
  <c r="F269" i="1"/>
  <c r="C2023" i="1"/>
  <c r="D2023" i="1"/>
  <c r="E2023" i="1"/>
  <c r="F2023" i="1"/>
  <c r="C606" i="1"/>
  <c r="D606" i="1"/>
  <c r="E606" i="1"/>
  <c r="F606" i="1"/>
  <c r="C785" i="1"/>
  <c r="D785" i="1"/>
  <c r="E785" i="1"/>
  <c r="F785" i="1"/>
  <c r="C872" i="1"/>
  <c r="D872" i="1"/>
  <c r="E872" i="1"/>
  <c r="F872" i="1"/>
  <c r="C924" i="1"/>
  <c r="D924" i="1"/>
  <c r="E924" i="1"/>
  <c r="F924" i="1"/>
  <c r="C581" i="1"/>
  <c r="D581" i="1"/>
  <c r="E581" i="1"/>
  <c r="F581" i="1"/>
  <c r="C1737" i="1"/>
  <c r="D1737" i="1"/>
  <c r="E1737" i="1"/>
  <c r="F1737" i="1"/>
  <c r="C832" i="1"/>
  <c r="D832" i="1"/>
  <c r="E832" i="1"/>
  <c r="F832" i="1"/>
  <c r="C1748" i="1"/>
  <c r="D1748" i="1"/>
  <c r="E1748" i="1"/>
  <c r="F1748" i="1"/>
  <c r="C2234" i="1"/>
  <c r="D2234" i="1"/>
  <c r="E2234" i="1"/>
  <c r="F2234" i="1"/>
  <c r="C1411" i="1"/>
  <c r="D1411" i="1"/>
  <c r="E1411" i="1"/>
  <c r="F1411" i="1"/>
  <c r="C1217" i="1"/>
  <c r="D1217" i="1"/>
  <c r="E1217" i="1"/>
  <c r="F1217" i="1"/>
  <c r="C1624" i="1"/>
  <c r="D1624" i="1"/>
  <c r="E1624" i="1"/>
  <c r="F1624" i="1"/>
  <c r="C2262" i="1"/>
  <c r="D2262" i="1"/>
  <c r="E2262" i="1"/>
  <c r="F2262" i="1"/>
  <c r="C48" i="1"/>
  <c r="D48" i="1"/>
  <c r="E48" i="1"/>
  <c r="F48" i="1"/>
  <c r="C582" i="1"/>
  <c r="D582" i="1"/>
  <c r="E582" i="1"/>
  <c r="F582" i="1"/>
  <c r="C989" i="1"/>
  <c r="D989" i="1"/>
  <c r="E989" i="1"/>
  <c r="F989" i="1"/>
  <c r="C990" i="1"/>
  <c r="D990" i="1"/>
  <c r="E990" i="1"/>
  <c r="F990" i="1"/>
  <c r="C356" i="1"/>
  <c r="D356" i="1"/>
  <c r="E356" i="1"/>
  <c r="F356" i="1"/>
  <c r="C68" i="1"/>
  <c r="D68" i="1"/>
  <c r="E68" i="1"/>
  <c r="F68" i="1"/>
  <c r="C193" i="1"/>
  <c r="D193" i="1"/>
  <c r="E193" i="1"/>
  <c r="F193" i="1"/>
  <c r="C500" i="1"/>
  <c r="D500" i="1"/>
  <c r="E500" i="1"/>
  <c r="F500" i="1"/>
  <c r="C1123" i="1"/>
  <c r="D1123" i="1"/>
  <c r="E1123" i="1"/>
  <c r="F1123" i="1"/>
  <c r="C1428" i="1"/>
  <c r="D1428" i="1"/>
  <c r="E1428" i="1"/>
  <c r="F1428" i="1"/>
  <c r="C231" i="1"/>
  <c r="D231" i="1"/>
  <c r="E231" i="1"/>
  <c r="F231" i="1"/>
  <c r="C1708" i="1"/>
  <c r="D1708" i="1"/>
  <c r="E1708" i="1"/>
  <c r="F1708" i="1"/>
  <c r="C328" i="1"/>
  <c r="D328" i="1"/>
  <c r="E328" i="1"/>
  <c r="F328" i="1"/>
  <c r="C1120" i="1"/>
  <c r="D1120" i="1"/>
  <c r="E1120" i="1"/>
  <c r="F1120" i="1"/>
  <c r="C923" i="1"/>
  <c r="D923" i="1"/>
  <c r="E923" i="1"/>
  <c r="F923" i="1"/>
  <c r="C901" i="1"/>
  <c r="D901" i="1"/>
  <c r="E901" i="1"/>
  <c r="F901" i="1"/>
  <c r="C241" i="1"/>
  <c r="D241" i="1"/>
  <c r="E241" i="1"/>
  <c r="F241" i="1"/>
  <c r="C12" i="1"/>
  <c r="D12" i="1"/>
  <c r="E12" i="1"/>
  <c r="F12" i="1"/>
  <c r="C1565" i="1"/>
  <c r="D1565" i="1"/>
  <c r="E1565" i="1"/>
  <c r="F1565" i="1"/>
  <c r="C760" i="1"/>
  <c r="D760" i="1"/>
  <c r="E760" i="1"/>
  <c r="F760" i="1"/>
  <c r="C2228" i="1"/>
  <c r="D2228" i="1"/>
  <c r="E2228" i="1"/>
  <c r="F2228" i="1"/>
  <c r="C2003" i="1"/>
  <c r="D2003" i="1"/>
  <c r="E2003" i="1"/>
  <c r="F2003" i="1"/>
  <c r="C1505" i="1"/>
  <c r="D1505" i="1"/>
  <c r="E1505" i="1"/>
  <c r="F1505" i="1"/>
  <c r="C2192" i="1"/>
  <c r="D2192" i="1"/>
  <c r="E2192" i="1"/>
  <c r="F2192" i="1"/>
  <c r="C784" i="1"/>
  <c r="D784" i="1"/>
  <c r="E784" i="1"/>
  <c r="F784" i="1"/>
  <c r="C575" i="1"/>
  <c r="D575" i="1"/>
  <c r="E575" i="1"/>
  <c r="F575" i="1"/>
  <c r="C875" i="1"/>
  <c r="D875" i="1"/>
  <c r="E875" i="1"/>
  <c r="F875" i="1"/>
  <c r="C561" i="1"/>
  <c r="D561" i="1"/>
  <c r="E561" i="1"/>
  <c r="F561" i="1"/>
  <c r="C145" i="1"/>
  <c r="D145" i="1"/>
  <c r="E145" i="1"/>
  <c r="F145" i="1"/>
  <c r="C746" i="1"/>
  <c r="D746" i="1"/>
  <c r="E746" i="1"/>
  <c r="F746" i="1"/>
  <c r="C747" i="1"/>
  <c r="D747" i="1"/>
  <c r="E747" i="1"/>
  <c r="F747" i="1"/>
  <c r="C2219" i="1"/>
  <c r="D2219" i="1"/>
  <c r="E2219" i="1"/>
  <c r="F2219" i="1"/>
  <c r="C2189" i="1"/>
  <c r="D2189" i="1"/>
  <c r="E2189" i="1"/>
  <c r="F2189" i="1"/>
  <c r="C1449" i="1"/>
  <c r="D1449" i="1"/>
  <c r="E1449" i="1"/>
  <c r="F1449" i="1"/>
  <c r="C843" i="1"/>
  <c r="D843" i="1"/>
  <c r="E843" i="1"/>
  <c r="F843" i="1"/>
  <c r="C741" i="1"/>
  <c r="D741" i="1"/>
  <c r="E741" i="1"/>
  <c r="F741" i="1"/>
  <c r="C742" i="1"/>
  <c r="D742" i="1"/>
  <c r="E742" i="1"/>
  <c r="F742" i="1"/>
  <c r="C743" i="1"/>
  <c r="D743" i="1"/>
  <c r="E743" i="1"/>
  <c r="F743" i="1"/>
  <c r="C744" i="1"/>
  <c r="D744" i="1"/>
  <c r="E744" i="1"/>
  <c r="F744" i="1"/>
  <c r="C745" i="1"/>
  <c r="D745" i="1"/>
  <c r="E745" i="1"/>
  <c r="F745" i="1"/>
  <c r="C2171" i="1"/>
  <c r="D2171" i="1"/>
  <c r="E2171" i="1"/>
  <c r="F2171" i="1"/>
  <c r="C2287" i="1"/>
  <c r="D2287" i="1"/>
  <c r="E2287" i="1"/>
  <c r="F2287" i="1"/>
  <c r="C1133" i="1"/>
  <c r="D1133" i="1"/>
  <c r="E1133" i="1"/>
  <c r="F1133" i="1"/>
  <c r="C372" i="1"/>
  <c r="D372" i="1"/>
  <c r="E372" i="1"/>
  <c r="F372" i="1"/>
  <c r="C1723" i="1"/>
  <c r="D1723" i="1"/>
  <c r="E1723" i="1"/>
  <c r="F1723" i="1"/>
  <c r="C2261" i="1"/>
  <c r="D2261" i="1"/>
  <c r="E2261" i="1"/>
  <c r="F2261" i="1"/>
  <c r="C1873" i="1"/>
  <c r="D1873" i="1"/>
  <c r="E1873" i="1"/>
  <c r="F1873" i="1"/>
  <c r="C1484" i="1"/>
  <c r="D1484" i="1"/>
  <c r="E1484" i="1"/>
  <c r="F1484" i="1"/>
  <c r="C1857" i="1"/>
  <c r="D1857" i="1"/>
  <c r="E1857" i="1"/>
  <c r="F1857" i="1"/>
  <c r="C2252" i="1"/>
  <c r="D2252" i="1"/>
  <c r="E2252" i="1"/>
  <c r="F2252" i="1"/>
  <c r="C2071" i="1"/>
  <c r="D2071" i="1"/>
  <c r="E2071" i="1"/>
  <c r="F2071" i="1"/>
  <c r="C2164" i="1"/>
  <c r="D2164" i="1"/>
  <c r="E2164" i="1"/>
  <c r="F2164" i="1"/>
  <c r="C2209" i="1"/>
  <c r="D2209" i="1"/>
  <c r="E2209" i="1"/>
  <c r="F2209" i="1"/>
  <c r="C2040" i="1"/>
  <c r="D2040" i="1"/>
  <c r="E2040" i="1"/>
  <c r="F2040" i="1"/>
  <c r="C922" i="1"/>
  <c r="D922" i="1"/>
  <c r="E922" i="1"/>
  <c r="F922" i="1"/>
  <c r="C512" i="1"/>
  <c r="D512" i="1"/>
  <c r="E512" i="1"/>
  <c r="F512" i="1"/>
  <c r="C497" i="1"/>
  <c r="D497" i="1"/>
  <c r="E497" i="1"/>
  <c r="F497" i="1"/>
  <c r="C641" i="1"/>
  <c r="D641" i="1"/>
  <c r="E641" i="1"/>
  <c r="F641" i="1"/>
  <c r="C2181" i="1"/>
  <c r="D2181" i="1"/>
  <c r="E2181" i="1"/>
  <c r="F2181" i="1"/>
  <c r="C2125" i="1"/>
  <c r="D2125" i="1"/>
  <c r="E2125" i="1"/>
  <c r="F2125" i="1"/>
  <c r="C1659" i="1"/>
  <c r="D1659" i="1"/>
  <c r="E1659" i="1"/>
  <c r="F1659" i="1"/>
  <c r="C1337" i="1"/>
  <c r="D1337" i="1"/>
  <c r="E1337" i="1"/>
  <c r="F1337" i="1"/>
  <c r="C1900" i="1"/>
  <c r="D1900" i="1"/>
  <c r="E1900" i="1"/>
  <c r="F1900" i="1"/>
  <c r="C2081" i="1"/>
  <c r="D2081" i="1"/>
  <c r="E2081" i="1"/>
  <c r="F2081" i="1"/>
  <c r="C2156" i="1"/>
  <c r="D2156" i="1"/>
  <c r="E2156" i="1"/>
  <c r="F2156" i="1"/>
  <c r="C1921" i="1"/>
  <c r="D1921" i="1"/>
  <c r="E1921" i="1"/>
  <c r="F1921" i="1"/>
  <c r="C1721" i="1"/>
  <c r="D1721" i="1"/>
  <c r="E1721" i="1"/>
  <c r="F1721" i="1"/>
  <c r="C1834" i="1"/>
  <c r="D1834" i="1"/>
  <c r="E1834" i="1"/>
  <c r="F1834" i="1"/>
  <c r="C1835" i="1"/>
  <c r="D1835" i="1"/>
  <c r="E1835" i="1"/>
  <c r="F1835" i="1"/>
  <c r="C1836" i="1"/>
  <c r="D1836" i="1"/>
  <c r="E1836" i="1"/>
  <c r="F1836" i="1"/>
  <c r="C1745" i="1"/>
  <c r="D1745" i="1"/>
  <c r="E1745" i="1"/>
  <c r="F1745" i="1"/>
  <c r="C1785" i="1"/>
  <c r="D1785" i="1"/>
  <c r="E1785" i="1"/>
  <c r="F1785" i="1"/>
  <c r="C2113" i="1"/>
  <c r="D2113" i="1"/>
  <c r="E2113" i="1"/>
  <c r="F2113" i="1"/>
  <c r="C1352" i="1"/>
  <c r="D1352" i="1"/>
  <c r="E1352" i="1"/>
  <c r="F1352" i="1"/>
  <c r="C1353" i="1"/>
  <c r="D1353" i="1"/>
  <c r="E1353" i="1"/>
  <c r="F1353" i="1"/>
  <c r="C2145" i="1"/>
  <c r="D2145" i="1"/>
  <c r="E2145" i="1"/>
  <c r="F2145" i="1"/>
  <c r="C1258" i="1"/>
  <c r="D1258" i="1"/>
  <c r="E1258" i="1"/>
  <c r="F1258" i="1"/>
  <c r="C2151" i="1"/>
  <c r="D2151" i="1"/>
  <c r="E2151" i="1"/>
  <c r="F2151" i="1"/>
  <c r="C2256" i="1"/>
  <c r="D2256" i="1"/>
  <c r="E2256" i="1"/>
  <c r="F2256" i="1"/>
  <c r="C2291" i="1"/>
  <c r="D2291" i="1"/>
  <c r="E2291" i="1"/>
  <c r="F2291" i="1"/>
  <c r="C2233" i="1"/>
  <c r="D2233" i="1"/>
  <c r="E2233" i="1"/>
  <c r="F2233" i="1"/>
  <c r="C2212" i="1"/>
  <c r="D2212" i="1"/>
  <c r="E2212" i="1"/>
  <c r="F2212" i="1"/>
  <c r="C2133" i="1"/>
  <c r="D2133" i="1"/>
  <c r="E2133" i="1"/>
  <c r="F2133" i="1"/>
  <c r="C2015" i="1"/>
  <c r="D2015" i="1"/>
  <c r="E2015" i="1"/>
  <c r="F2015" i="1"/>
  <c r="C1846" i="1"/>
  <c r="D1846" i="1"/>
  <c r="E1846" i="1"/>
  <c r="F1846" i="1"/>
  <c r="C732" i="1"/>
  <c r="D732" i="1"/>
  <c r="E732" i="1"/>
  <c r="F732" i="1"/>
  <c r="C2067" i="1"/>
  <c r="D2067" i="1"/>
  <c r="E2067" i="1"/>
  <c r="F2067" i="1"/>
  <c r="C2100" i="1"/>
  <c r="D2100" i="1"/>
  <c r="E2100" i="1"/>
  <c r="F2100" i="1"/>
  <c r="C2294" i="1"/>
  <c r="D2294" i="1"/>
  <c r="E2294" i="1"/>
  <c r="F2294" i="1"/>
  <c r="C810" i="1"/>
  <c r="D810" i="1"/>
  <c r="E810" i="1"/>
  <c r="F810" i="1"/>
  <c r="C2214" i="1"/>
  <c r="D2214" i="1"/>
  <c r="E2214" i="1"/>
  <c r="F2214" i="1"/>
  <c r="C1535" i="1"/>
  <c r="D1535" i="1"/>
  <c r="E1535" i="1"/>
  <c r="F1535" i="1"/>
  <c r="C1758" i="1"/>
  <c r="D1758" i="1"/>
  <c r="E1758" i="1"/>
  <c r="F1758" i="1"/>
  <c r="C1706" i="1"/>
  <c r="D1706" i="1"/>
  <c r="E1706" i="1"/>
  <c r="F1706" i="1"/>
  <c r="C1041" i="1"/>
  <c r="D1041" i="1"/>
  <c r="E1041" i="1"/>
  <c r="F1041" i="1"/>
  <c r="C1753" i="1"/>
  <c r="D1753" i="1"/>
  <c r="E1753" i="1"/>
  <c r="F1753" i="1"/>
  <c r="C1163" i="1"/>
  <c r="D1163" i="1"/>
  <c r="E1163" i="1"/>
  <c r="F1163" i="1"/>
  <c r="C1296" i="1"/>
  <c r="D1296" i="1"/>
  <c r="E1296" i="1"/>
  <c r="F1296" i="1"/>
  <c r="C1545" i="1"/>
  <c r="D1545" i="1"/>
  <c r="E1545" i="1"/>
  <c r="F1545" i="1"/>
  <c r="C1419" i="1"/>
  <c r="D1419" i="1"/>
  <c r="E1419" i="1"/>
  <c r="F1419" i="1"/>
  <c r="C986" i="1"/>
  <c r="D986" i="1"/>
  <c r="E986" i="1"/>
  <c r="F986" i="1"/>
  <c r="C531" i="1"/>
  <c r="D531" i="1"/>
  <c r="E531" i="1"/>
  <c r="F531" i="1"/>
  <c r="C1660" i="1"/>
  <c r="D1660" i="1"/>
  <c r="E1660" i="1"/>
  <c r="F1660" i="1"/>
  <c r="C1991" i="1"/>
  <c r="D1991" i="1"/>
  <c r="E1991" i="1"/>
  <c r="F1991" i="1"/>
  <c r="C1062" i="1"/>
  <c r="D1062" i="1"/>
  <c r="E1062" i="1"/>
  <c r="F1062" i="1"/>
  <c r="C1892" i="1"/>
  <c r="D1892" i="1"/>
  <c r="E1892" i="1"/>
  <c r="F1892" i="1"/>
  <c r="C1577" i="1"/>
  <c r="D1577" i="1"/>
  <c r="E1577" i="1"/>
  <c r="F1577" i="1"/>
  <c r="C2155" i="1"/>
  <c r="D2155" i="1"/>
  <c r="E2155" i="1"/>
  <c r="F2155" i="1"/>
  <c r="C225" i="1"/>
  <c r="D225" i="1"/>
  <c r="E225" i="1"/>
  <c r="F225" i="1"/>
  <c r="C333" i="1"/>
  <c r="D333" i="1"/>
  <c r="E333" i="1"/>
  <c r="F333" i="1"/>
  <c r="C603" i="1"/>
  <c r="D603" i="1"/>
  <c r="E603" i="1"/>
  <c r="F603" i="1"/>
  <c r="C224" i="1"/>
  <c r="D224" i="1"/>
  <c r="E224" i="1"/>
  <c r="F224" i="1"/>
  <c r="C463" i="1"/>
  <c r="D463" i="1"/>
  <c r="E463" i="1"/>
  <c r="F463" i="1"/>
  <c r="C2112" i="1"/>
  <c r="D2112" i="1"/>
  <c r="E2112" i="1"/>
  <c r="F2112" i="1"/>
  <c r="C842" i="1"/>
  <c r="D842" i="1"/>
  <c r="E842" i="1"/>
  <c r="F842" i="1"/>
  <c r="C1292" i="1"/>
  <c r="D1292" i="1"/>
  <c r="E1292" i="1"/>
  <c r="F1292" i="1"/>
  <c r="C1402" i="1"/>
  <c r="D1402" i="1"/>
  <c r="E1402" i="1"/>
  <c r="F1402" i="1"/>
  <c r="C1899" i="1"/>
  <c r="D1899" i="1"/>
  <c r="E1899" i="1"/>
  <c r="F1899" i="1"/>
  <c r="C759" i="1"/>
  <c r="D759" i="1"/>
  <c r="E759" i="1"/>
  <c r="F759" i="1"/>
  <c r="C2011" i="1"/>
  <c r="D2011" i="1"/>
  <c r="E2011" i="1"/>
  <c r="F2011" i="1"/>
  <c r="C583" i="1"/>
  <c r="D583" i="1"/>
  <c r="E583" i="1"/>
  <c r="F583" i="1"/>
  <c r="C584" i="1"/>
  <c r="D584" i="1"/>
  <c r="E584" i="1"/>
  <c r="F584" i="1"/>
  <c r="C1251" i="1"/>
  <c r="D1251" i="1"/>
  <c r="E1251" i="1"/>
  <c r="F1251" i="1"/>
  <c r="C549" i="1"/>
  <c r="D549" i="1"/>
  <c r="E549" i="1"/>
  <c r="F549" i="1"/>
  <c r="C1038" i="1"/>
  <c r="D1038" i="1"/>
  <c r="E1038" i="1"/>
  <c r="F1038" i="1"/>
  <c r="C191" i="1"/>
  <c r="D191" i="1"/>
  <c r="E191" i="1"/>
  <c r="F191" i="1"/>
  <c r="C192" i="1"/>
  <c r="D192" i="1"/>
  <c r="E192" i="1"/>
  <c r="F192" i="1"/>
  <c r="C353" i="1"/>
  <c r="D353" i="1"/>
  <c r="E353" i="1"/>
  <c r="F353" i="1"/>
  <c r="C1107" i="1"/>
  <c r="D1107" i="1"/>
  <c r="E1107" i="1"/>
  <c r="F1107" i="1"/>
  <c r="C906" i="1"/>
  <c r="D906" i="1"/>
  <c r="E906" i="1"/>
  <c r="F906" i="1"/>
  <c r="C16" i="1"/>
  <c r="D16" i="1"/>
  <c r="E16" i="1"/>
  <c r="F16" i="1"/>
  <c r="C510" i="1"/>
  <c r="D510" i="1"/>
  <c r="E510" i="1"/>
  <c r="F510" i="1"/>
  <c r="C511" i="1"/>
  <c r="D511" i="1"/>
  <c r="E511" i="1"/>
  <c r="F511" i="1"/>
  <c r="C144" i="1"/>
  <c r="D144" i="1"/>
  <c r="E144" i="1"/>
  <c r="F144" i="1"/>
  <c r="C1067" i="1"/>
  <c r="D1067" i="1"/>
  <c r="E1067" i="1"/>
  <c r="F1067" i="1"/>
  <c r="C1046" i="1"/>
  <c r="D1046" i="1"/>
  <c r="E1046" i="1"/>
  <c r="F1046" i="1"/>
  <c r="C67" i="1"/>
  <c r="D67" i="1"/>
  <c r="E67" i="1"/>
  <c r="F67" i="1"/>
  <c r="C387" i="1"/>
  <c r="D387" i="1"/>
  <c r="E387" i="1"/>
  <c r="F387" i="1"/>
  <c r="C2066" i="1"/>
  <c r="D2066" i="1"/>
  <c r="E2066" i="1"/>
  <c r="F2066" i="1"/>
  <c r="C613" i="1"/>
  <c r="D613" i="1"/>
  <c r="E613" i="1"/>
  <c r="F613" i="1"/>
  <c r="C1085" i="1"/>
  <c r="D1085" i="1"/>
  <c r="E1085" i="1"/>
  <c r="F1085" i="1"/>
  <c r="C758" i="1"/>
  <c r="D758" i="1"/>
  <c r="E758" i="1"/>
  <c r="F758" i="1"/>
  <c r="C1031" i="1"/>
  <c r="D1031" i="1"/>
  <c r="E1031" i="1"/>
  <c r="F1031" i="1"/>
  <c r="C1004" i="1"/>
  <c r="D1004" i="1"/>
  <c r="E1004" i="1"/>
  <c r="F1004" i="1"/>
  <c r="C1005" i="1"/>
  <c r="D1005" i="1"/>
  <c r="E1005" i="1"/>
  <c r="F1005" i="1"/>
  <c r="C163" i="1"/>
  <c r="D163" i="1"/>
  <c r="E163" i="1"/>
  <c r="F163" i="1"/>
  <c r="C117" i="1"/>
  <c r="D117" i="1"/>
  <c r="E117" i="1"/>
  <c r="F117" i="1"/>
  <c r="C912" i="1"/>
  <c r="D912" i="1"/>
  <c r="E912" i="1"/>
  <c r="F912" i="1"/>
  <c r="C1035" i="1"/>
  <c r="D1035" i="1"/>
  <c r="E1035" i="1"/>
  <c r="F1035" i="1"/>
  <c r="C312" i="1"/>
  <c r="D312" i="1"/>
  <c r="E312" i="1"/>
  <c r="F312" i="1"/>
  <c r="C1733" i="1"/>
  <c r="D1733" i="1"/>
  <c r="E1733" i="1"/>
  <c r="F1733" i="1"/>
  <c r="C1696" i="1"/>
  <c r="D1696" i="1"/>
  <c r="E1696" i="1"/>
  <c r="F1696" i="1"/>
  <c r="C1336" i="1"/>
  <c r="D1336" i="1"/>
  <c r="E1336" i="1"/>
  <c r="F1336" i="1"/>
  <c r="C1097" i="1"/>
  <c r="D1097" i="1"/>
  <c r="E1097" i="1"/>
  <c r="F1097" i="1"/>
  <c r="C790" i="1"/>
  <c r="D790" i="1"/>
  <c r="E790" i="1"/>
  <c r="F790" i="1"/>
  <c r="C462" i="1"/>
  <c r="D462" i="1"/>
  <c r="E462" i="1"/>
  <c r="F462" i="1"/>
  <c r="C647" i="1"/>
  <c r="D647" i="1"/>
  <c r="E647" i="1"/>
  <c r="F647" i="1"/>
  <c r="C1270" i="1"/>
  <c r="D1270" i="1"/>
  <c r="E1270" i="1"/>
  <c r="F1270" i="1"/>
  <c r="C472" i="1"/>
  <c r="D472" i="1"/>
  <c r="E472" i="1"/>
  <c r="F472" i="1"/>
  <c r="C297" i="1"/>
  <c r="D297" i="1"/>
  <c r="E297" i="1"/>
  <c r="F297" i="1"/>
  <c r="C437" i="1"/>
  <c r="D437" i="1"/>
  <c r="E437" i="1"/>
  <c r="F437" i="1"/>
  <c r="C236" i="1"/>
  <c r="D236" i="1"/>
  <c r="E236" i="1"/>
  <c r="F236" i="1"/>
  <c r="C640" i="1"/>
  <c r="D640" i="1"/>
  <c r="E640" i="1"/>
  <c r="F640" i="1"/>
  <c r="C223" i="1"/>
  <c r="D223" i="1"/>
  <c r="E223" i="1"/>
  <c r="F223" i="1"/>
  <c r="C589" i="1"/>
  <c r="D589" i="1"/>
  <c r="E589" i="1"/>
  <c r="F589" i="1"/>
  <c r="C404" i="1"/>
  <c r="D404" i="1"/>
  <c r="E404" i="1"/>
  <c r="F404" i="1"/>
  <c r="C1266" i="1"/>
  <c r="D1266" i="1"/>
  <c r="E1266" i="1"/>
  <c r="F1266" i="1"/>
  <c r="C1994" i="1"/>
  <c r="D1994" i="1"/>
  <c r="E1994" i="1"/>
  <c r="F1994" i="1"/>
  <c r="C702" i="1"/>
  <c r="D702" i="1"/>
  <c r="E702" i="1"/>
  <c r="F702" i="1"/>
  <c r="C260" i="1"/>
  <c r="D260" i="1"/>
  <c r="E260" i="1"/>
  <c r="F260" i="1"/>
  <c r="C861" i="1"/>
  <c r="D861" i="1"/>
  <c r="E861" i="1"/>
  <c r="F861" i="1"/>
  <c r="C894" i="1"/>
  <c r="D894" i="1"/>
  <c r="E894" i="1"/>
  <c r="F894" i="1"/>
  <c r="C646" i="1"/>
  <c r="D646" i="1"/>
  <c r="E646" i="1"/>
  <c r="F646" i="1"/>
  <c r="C525" i="1"/>
  <c r="D525" i="1"/>
  <c r="E525" i="1"/>
  <c r="F525" i="1"/>
  <c r="C227" i="1"/>
  <c r="D227" i="1"/>
  <c r="E227" i="1"/>
  <c r="F227" i="1"/>
  <c r="C230" i="1"/>
  <c r="D230" i="1"/>
  <c r="E230" i="1"/>
  <c r="F230" i="1"/>
  <c r="C114" i="1"/>
  <c r="D114" i="1"/>
  <c r="E114" i="1"/>
  <c r="F114" i="1"/>
  <c r="C1172" i="1"/>
  <c r="D1172" i="1"/>
  <c r="E1172" i="1"/>
  <c r="F1172" i="1"/>
  <c r="C1669" i="1"/>
  <c r="D1669" i="1"/>
  <c r="E1669" i="1"/>
  <c r="F1669" i="1"/>
  <c r="C96" i="1"/>
  <c r="D96" i="1"/>
  <c r="E96" i="1"/>
  <c r="F96" i="1"/>
  <c r="C190" i="1"/>
  <c r="D190" i="1"/>
  <c r="E190" i="1"/>
  <c r="F190" i="1"/>
  <c r="C656" i="1"/>
  <c r="D656" i="1"/>
  <c r="E656" i="1"/>
  <c r="F656" i="1"/>
  <c r="C309" i="1"/>
  <c r="D309" i="1"/>
  <c r="E309" i="1"/>
  <c r="F309" i="1"/>
  <c r="C291" i="1"/>
  <c r="D291" i="1"/>
  <c r="E291" i="1"/>
  <c r="F291" i="1"/>
  <c r="C142" i="1"/>
  <c r="D142" i="1"/>
  <c r="E142" i="1"/>
  <c r="F142" i="1"/>
  <c r="C1110" i="1"/>
  <c r="D1110" i="1"/>
  <c r="E1110" i="1"/>
  <c r="F1110" i="1"/>
  <c r="C1222" i="1"/>
  <c r="D1222" i="1"/>
  <c r="E1222" i="1"/>
  <c r="F1222" i="1"/>
  <c r="C143" i="1"/>
  <c r="D143" i="1"/>
  <c r="E143" i="1"/>
  <c r="F143" i="1"/>
  <c r="C62" i="1"/>
  <c r="D62" i="1"/>
  <c r="E62" i="1"/>
  <c r="F62" i="1"/>
  <c r="C1096" i="1"/>
  <c r="D1096" i="1"/>
  <c r="E1096" i="1"/>
  <c r="F1096" i="1"/>
  <c r="C1350" i="1"/>
  <c r="D1350" i="1"/>
  <c r="E1350" i="1"/>
  <c r="F1350" i="1"/>
  <c r="C63" i="1"/>
  <c r="D63" i="1"/>
  <c r="E63" i="1"/>
  <c r="F63" i="1"/>
  <c r="C1867" i="1"/>
  <c r="D1867" i="1"/>
  <c r="E1867" i="1"/>
  <c r="F1867" i="1"/>
  <c r="C1716" i="1"/>
  <c r="D1716" i="1"/>
  <c r="E1716" i="1"/>
  <c r="F1716" i="1"/>
  <c r="C1833" i="1"/>
  <c r="D1833" i="1"/>
  <c r="E1833" i="1"/>
  <c r="F1833" i="1"/>
  <c r="C395" i="1"/>
  <c r="D395" i="1"/>
  <c r="E395" i="1"/>
  <c r="F395" i="1"/>
  <c r="C2292" i="1"/>
  <c r="D2292" i="1"/>
  <c r="E2292" i="1"/>
  <c r="F2292" i="1"/>
  <c r="C1975" i="1"/>
  <c r="D1975" i="1"/>
  <c r="E1975" i="1"/>
  <c r="F1975" i="1"/>
  <c r="C949" i="1"/>
  <c r="D949" i="1"/>
  <c r="E949" i="1"/>
  <c r="F949" i="1"/>
  <c r="C1235" i="1"/>
  <c r="D1235" i="1"/>
  <c r="E1235" i="1"/>
  <c r="F1235" i="1"/>
  <c r="C2159" i="1"/>
  <c r="D2159" i="1"/>
  <c r="E2159" i="1"/>
  <c r="F2159" i="1"/>
  <c r="C1920" i="1"/>
  <c r="D1920" i="1"/>
  <c r="E1920" i="1"/>
  <c r="F1920" i="1"/>
  <c r="C1456" i="1"/>
  <c r="D1456" i="1"/>
  <c r="E1456" i="1"/>
  <c r="F1456" i="1"/>
  <c r="C677" i="1"/>
  <c r="D677" i="1"/>
  <c r="E677" i="1"/>
  <c r="F677" i="1"/>
  <c r="C254" i="1"/>
  <c r="D254" i="1"/>
  <c r="E254" i="1"/>
  <c r="F254" i="1"/>
  <c r="C115" i="1"/>
  <c r="D115" i="1"/>
  <c r="E115" i="1"/>
  <c r="F115" i="1"/>
  <c r="C469" i="1"/>
  <c r="D469" i="1"/>
  <c r="E469" i="1"/>
  <c r="F469" i="1"/>
  <c r="C1262" i="1"/>
  <c r="D1262" i="1"/>
  <c r="E1262" i="1"/>
  <c r="F1262" i="1"/>
  <c r="C436" i="1"/>
  <c r="D436" i="1"/>
  <c r="E436" i="1"/>
  <c r="F436" i="1"/>
  <c r="C248" i="1"/>
  <c r="D248" i="1"/>
  <c r="E248" i="1"/>
  <c r="F248" i="1"/>
  <c r="C1837" i="1"/>
  <c r="D1837" i="1"/>
  <c r="E1837" i="1"/>
  <c r="F1837" i="1"/>
  <c r="C602" i="1"/>
  <c r="D602" i="1"/>
  <c r="E602" i="1"/>
  <c r="F602" i="1"/>
  <c r="C57" i="1"/>
  <c r="D57" i="1"/>
  <c r="E57" i="1"/>
  <c r="F57" i="1"/>
  <c r="C319" i="1"/>
  <c r="D319" i="1"/>
  <c r="E319" i="1"/>
  <c r="F319" i="1"/>
  <c r="C343" i="1"/>
  <c r="D343" i="1"/>
  <c r="E343" i="1"/>
  <c r="F343" i="1"/>
  <c r="C162" i="1"/>
  <c r="D162" i="1"/>
  <c r="E162" i="1"/>
  <c r="F162" i="1"/>
  <c r="C222" i="1"/>
  <c r="D222" i="1"/>
  <c r="E222" i="1"/>
  <c r="F222" i="1"/>
  <c r="C399" i="1"/>
  <c r="D399" i="1"/>
  <c r="E399" i="1"/>
  <c r="F399" i="1"/>
  <c r="C1194" i="1"/>
  <c r="D1194" i="1"/>
  <c r="E1194" i="1"/>
  <c r="F1194" i="1"/>
  <c r="C721" i="1"/>
  <c r="D721" i="1"/>
  <c r="E721" i="1"/>
  <c r="F721" i="1"/>
  <c r="C1658" i="1"/>
  <c r="D1658" i="1"/>
  <c r="E1658" i="1"/>
  <c r="F1658" i="1"/>
  <c r="C1179" i="1"/>
  <c r="D1179" i="1"/>
  <c r="E1179" i="1"/>
  <c r="F1179" i="1"/>
  <c r="C897" i="1"/>
  <c r="D897" i="1"/>
  <c r="E897" i="1"/>
  <c r="F897" i="1"/>
  <c r="C1176" i="1"/>
  <c r="D1176" i="1"/>
  <c r="E1176" i="1"/>
  <c r="F1176" i="1"/>
  <c r="C386" i="1"/>
  <c r="D386" i="1"/>
  <c r="E386" i="1"/>
  <c r="F386" i="1"/>
  <c r="C1226" i="1"/>
  <c r="D1226" i="1"/>
  <c r="E1226" i="1"/>
  <c r="F1226" i="1"/>
  <c r="C2154" i="1"/>
  <c r="D2154" i="1"/>
  <c r="E2154" i="1"/>
  <c r="F2154" i="1"/>
  <c r="C2128" i="1"/>
  <c r="D2128" i="1"/>
  <c r="E2128" i="1"/>
  <c r="F2128" i="1"/>
  <c r="C1331" i="1"/>
  <c r="D1331" i="1"/>
  <c r="E1331" i="1"/>
  <c r="F1331" i="1"/>
  <c r="C2047" i="1"/>
  <c r="D2047" i="1"/>
  <c r="E2047" i="1"/>
  <c r="F2047" i="1"/>
  <c r="C588" i="1"/>
  <c r="D588" i="1"/>
  <c r="E588" i="1"/>
  <c r="F588" i="1"/>
  <c r="C1929" i="1"/>
  <c r="D1929" i="1"/>
  <c r="E1929" i="1"/>
  <c r="F1929" i="1"/>
  <c r="C2070" i="1"/>
  <c r="D2070" i="1"/>
  <c r="E2070" i="1"/>
  <c r="F2070" i="1"/>
  <c r="C1151" i="1"/>
  <c r="D1151" i="1"/>
  <c r="E1151" i="1"/>
  <c r="F1151" i="1"/>
  <c r="C1534" i="1"/>
  <c r="D1534" i="1"/>
  <c r="E1534" i="1"/>
  <c r="F1534" i="1"/>
  <c r="C1655" i="1"/>
  <c r="D1655" i="1"/>
  <c r="E1655" i="1"/>
  <c r="F1655" i="1"/>
  <c r="C2099" i="1"/>
  <c r="D2099" i="1"/>
  <c r="E2099" i="1"/>
  <c r="F2099" i="1"/>
  <c r="C2056" i="1"/>
  <c r="D2056" i="1"/>
  <c r="E2056" i="1"/>
  <c r="F2056" i="1"/>
  <c r="C2149" i="1"/>
  <c r="D2149" i="1"/>
  <c r="E2149" i="1"/>
  <c r="F2149" i="1"/>
  <c r="C1291" i="1"/>
  <c r="D1291" i="1"/>
  <c r="E1291" i="1"/>
  <c r="F1291" i="1"/>
  <c r="C1516" i="1"/>
  <c r="D1516" i="1"/>
  <c r="E1516" i="1"/>
  <c r="F1516" i="1"/>
  <c r="C1003" i="1"/>
  <c r="D1003" i="1"/>
  <c r="E1003" i="1"/>
  <c r="F1003" i="1"/>
  <c r="C1713" i="1"/>
  <c r="D1713" i="1"/>
  <c r="E1713" i="1"/>
  <c r="F1713" i="1"/>
  <c r="C2098" i="1"/>
  <c r="D2098" i="1"/>
  <c r="E2098" i="1"/>
  <c r="F2098" i="1"/>
  <c r="C2039" i="1"/>
  <c r="D2039" i="1"/>
  <c r="E2039" i="1"/>
  <c r="F2039" i="1"/>
  <c r="C1616" i="1"/>
  <c r="D1616" i="1"/>
  <c r="E1616" i="1"/>
  <c r="F1616" i="1"/>
  <c r="C1931" i="1"/>
  <c r="D1931" i="1"/>
  <c r="E1931" i="1"/>
  <c r="F1931" i="1"/>
  <c r="C290" i="1"/>
  <c r="D290" i="1"/>
  <c r="E290" i="1"/>
  <c r="F290" i="1"/>
  <c r="C2263" i="1"/>
  <c r="D2263" i="1"/>
  <c r="E2263" i="1"/>
  <c r="F2263" i="1"/>
  <c r="C587" i="1"/>
  <c r="D587" i="1"/>
  <c r="E587" i="1"/>
  <c r="F587" i="1"/>
  <c r="C1286" i="1"/>
  <c r="D1286" i="1"/>
  <c r="E1286" i="1"/>
  <c r="F1286" i="1"/>
  <c r="C1423" i="1"/>
  <c r="D1423" i="1"/>
  <c r="E1423" i="1"/>
  <c r="F1423" i="1"/>
  <c r="C2174" i="1"/>
  <c r="D2174" i="1"/>
  <c r="E2174" i="1"/>
  <c r="F2174" i="1"/>
  <c r="C2121" i="1"/>
  <c r="D2121" i="1"/>
  <c r="E2121" i="1"/>
  <c r="F2121" i="1"/>
  <c r="C1600" i="1"/>
  <c r="D1600" i="1"/>
  <c r="E1600" i="1"/>
  <c r="F1600" i="1"/>
  <c r="C384" i="1"/>
  <c r="D384" i="1"/>
  <c r="E384" i="1"/>
  <c r="F384" i="1"/>
  <c r="C1725" i="1"/>
  <c r="D1725" i="1"/>
  <c r="E1725" i="1"/>
  <c r="F1725" i="1"/>
  <c r="C2060" i="1"/>
  <c r="D2060" i="1"/>
  <c r="E2060" i="1"/>
  <c r="F2060" i="1"/>
  <c r="C2044" i="1"/>
  <c r="D2044" i="1"/>
  <c r="E2044" i="1"/>
  <c r="F2044" i="1"/>
  <c r="C1911" i="1"/>
  <c r="D1911" i="1"/>
  <c r="E1911" i="1"/>
  <c r="F1911" i="1"/>
  <c r="C1813" i="1"/>
  <c r="D1813" i="1"/>
  <c r="E1813" i="1"/>
  <c r="F1813" i="1"/>
  <c r="C352" i="1"/>
  <c r="D352" i="1"/>
  <c r="E352" i="1"/>
  <c r="F352" i="1"/>
  <c r="C1417" i="1"/>
  <c r="D1417" i="1"/>
  <c r="E1417" i="1"/>
  <c r="F1417" i="1"/>
  <c r="C2007" i="1"/>
  <c r="D2007" i="1"/>
  <c r="E2007" i="1"/>
  <c r="F2007" i="1"/>
  <c r="C1171" i="1"/>
  <c r="D1171" i="1"/>
  <c r="E1171" i="1"/>
  <c r="F1171" i="1"/>
  <c r="C1979" i="1"/>
  <c r="D1979" i="1"/>
  <c r="E1979" i="1"/>
  <c r="F1979" i="1"/>
  <c r="C1732" i="1"/>
  <c r="D1732" i="1"/>
  <c r="E1732" i="1"/>
  <c r="F1732" i="1"/>
  <c r="C75" i="1"/>
  <c r="D75" i="1"/>
  <c r="E75" i="1"/>
  <c r="F75" i="1"/>
  <c r="C1234" i="1"/>
  <c r="D1234" i="1"/>
  <c r="E1234" i="1"/>
  <c r="F1234" i="1"/>
  <c r="C1150" i="1"/>
  <c r="D1150" i="1"/>
  <c r="E1150" i="1"/>
  <c r="F1150" i="1"/>
  <c r="C1072" i="1"/>
  <c r="D1072" i="1"/>
  <c r="E1072" i="1"/>
  <c r="F1072" i="1"/>
  <c r="C1299" i="1"/>
  <c r="D1299" i="1"/>
  <c r="E1299" i="1"/>
  <c r="F1299" i="1"/>
  <c r="C1240" i="1"/>
  <c r="D1240" i="1"/>
  <c r="E1240" i="1"/>
  <c r="F1240" i="1"/>
  <c r="C1241" i="1"/>
  <c r="D1241" i="1"/>
  <c r="E1241" i="1"/>
  <c r="F1241" i="1"/>
  <c r="C1081" i="1"/>
  <c r="D1081" i="1"/>
  <c r="E1081" i="1"/>
  <c r="F1081" i="1"/>
  <c r="C1066" i="1"/>
  <c r="D1066" i="1"/>
  <c r="E1066" i="1"/>
  <c r="F1066" i="1"/>
  <c r="C1073" i="1"/>
  <c r="D1073" i="1"/>
  <c r="E1073" i="1"/>
  <c r="F1073" i="1"/>
  <c r="C1077" i="1"/>
  <c r="D1077" i="1"/>
  <c r="E1077" i="1"/>
  <c r="F1077" i="1"/>
  <c r="C712" i="1"/>
  <c r="D712" i="1"/>
  <c r="E712" i="1"/>
  <c r="F712" i="1"/>
  <c r="C675" i="1"/>
  <c r="D675" i="1"/>
  <c r="E675" i="1"/>
  <c r="F675" i="1"/>
  <c r="C1744" i="1"/>
  <c r="D1744" i="1"/>
  <c r="E1744" i="1"/>
  <c r="F1744" i="1"/>
  <c r="C1643" i="1"/>
  <c r="D1643" i="1"/>
  <c r="E1643" i="1"/>
  <c r="F1643" i="1"/>
  <c r="C560" i="1"/>
  <c r="D560" i="1"/>
  <c r="E560" i="1"/>
  <c r="F560" i="1"/>
  <c r="C303" i="1"/>
  <c r="D303" i="1"/>
  <c r="E303" i="1"/>
  <c r="F303" i="1"/>
  <c r="C970" i="1"/>
  <c r="D970" i="1"/>
  <c r="E970" i="1"/>
  <c r="F970" i="1"/>
  <c r="C1882" i="1"/>
  <c r="D1882" i="1"/>
  <c r="E1882" i="1"/>
  <c r="F1882" i="1"/>
  <c r="C1237" i="1"/>
  <c r="D1237" i="1"/>
  <c r="E1237" i="1"/>
  <c r="F1237" i="1"/>
  <c r="C306" i="1"/>
  <c r="D306" i="1"/>
  <c r="E306" i="1"/>
  <c r="F306" i="1"/>
  <c r="C966" i="1"/>
  <c r="D966" i="1"/>
  <c r="E966" i="1"/>
  <c r="F966" i="1"/>
  <c r="C443" i="1"/>
  <c r="D443" i="1"/>
  <c r="E443" i="1"/>
  <c r="F443" i="1"/>
  <c r="C540" i="1"/>
  <c r="D540" i="1"/>
  <c r="E540" i="1"/>
  <c r="F540" i="1"/>
  <c r="C1467" i="1"/>
  <c r="D1467" i="1"/>
  <c r="E1467" i="1"/>
  <c r="F1467" i="1"/>
  <c r="C1347" i="1"/>
  <c r="D1347" i="1"/>
  <c r="E1347" i="1"/>
  <c r="F1347" i="1"/>
  <c r="C2280" i="1"/>
  <c r="D2280" i="1"/>
  <c r="E2280" i="1"/>
  <c r="F2280" i="1"/>
  <c r="C1784" i="1"/>
  <c r="D1784" i="1"/>
  <c r="E1784" i="1"/>
  <c r="F1784" i="1"/>
  <c r="C42" i="1"/>
  <c r="D42" i="1"/>
  <c r="E42" i="1"/>
  <c r="F42" i="1"/>
  <c r="C1030" i="1"/>
  <c r="D1030" i="1"/>
  <c r="E1030" i="1"/>
  <c r="F1030" i="1"/>
  <c r="C757" i="1"/>
  <c r="D757" i="1"/>
  <c r="E757" i="1"/>
  <c r="F757" i="1"/>
  <c r="C686" i="1"/>
  <c r="D686" i="1"/>
  <c r="E686" i="1"/>
  <c r="F686" i="1"/>
  <c r="C701" i="1"/>
  <c r="D701" i="1"/>
  <c r="E701" i="1"/>
  <c r="F701" i="1"/>
  <c r="C1924" i="1"/>
  <c r="D1924" i="1"/>
  <c r="E1924" i="1"/>
  <c r="F1924" i="1"/>
  <c r="C1848" i="1"/>
  <c r="D1848" i="1"/>
  <c r="E1848" i="1"/>
  <c r="F1848" i="1"/>
  <c r="C1370" i="1"/>
  <c r="D1370" i="1"/>
  <c r="E1370" i="1"/>
  <c r="F1370" i="1"/>
  <c r="C1566" i="1"/>
  <c r="D1566" i="1"/>
  <c r="E1566" i="1"/>
  <c r="F1566" i="1"/>
  <c r="C1634" i="1"/>
  <c r="D1634" i="1"/>
  <c r="E1634" i="1"/>
  <c r="F1634" i="1"/>
  <c r="C774" i="1"/>
  <c r="D774" i="1"/>
  <c r="E774" i="1"/>
  <c r="F774" i="1"/>
  <c r="C1590" i="1"/>
  <c r="D1590" i="1"/>
  <c r="E1590" i="1"/>
  <c r="F1590" i="1"/>
  <c r="C629" i="1"/>
  <c r="D629" i="1"/>
  <c r="E629" i="1"/>
  <c r="F629" i="1"/>
  <c r="C1791" i="1"/>
  <c r="D1791" i="1"/>
  <c r="E1791" i="1"/>
  <c r="F1791" i="1"/>
  <c r="C1469" i="1"/>
  <c r="D1469" i="1"/>
  <c r="E1469" i="1"/>
  <c r="F1469" i="1"/>
  <c r="C1182" i="1"/>
  <c r="D1182" i="1"/>
  <c r="E1182" i="1"/>
  <c r="F1182" i="1"/>
  <c r="C988" i="1"/>
  <c r="D988" i="1"/>
  <c r="E988" i="1"/>
  <c r="F988" i="1"/>
  <c r="C1029" i="1"/>
  <c r="D1029" i="1"/>
  <c r="E1029" i="1"/>
  <c r="F1029" i="1"/>
  <c r="C2185" i="1"/>
  <c r="D2185" i="1"/>
  <c r="E2185" i="1"/>
  <c r="F2185" i="1"/>
  <c r="C1874" i="1"/>
  <c r="D1874" i="1"/>
  <c r="E1874" i="1"/>
  <c r="F1874" i="1"/>
  <c r="C1862" i="1"/>
  <c r="D1862" i="1"/>
  <c r="E1862" i="1"/>
  <c r="F1862" i="1"/>
  <c r="C1512" i="1"/>
  <c r="D1512" i="1"/>
  <c r="E1512" i="1"/>
  <c r="F1512" i="1"/>
  <c r="C1561" i="1"/>
  <c r="D1561" i="1"/>
  <c r="E1561" i="1"/>
  <c r="F1561" i="1"/>
  <c r="C1604" i="1"/>
  <c r="D1604" i="1"/>
  <c r="E1604" i="1"/>
  <c r="F1604" i="1"/>
  <c r="C1633" i="1"/>
  <c r="D1633" i="1"/>
  <c r="E1633" i="1"/>
  <c r="F1633" i="1"/>
  <c r="C542" i="1"/>
  <c r="D542" i="1"/>
  <c r="E542" i="1"/>
  <c r="F542" i="1"/>
  <c r="C1940" i="1"/>
  <c r="D1940" i="1"/>
  <c r="E1940" i="1"/>
  <c r="F1940" i="1"/>
  <c r="C1751" i="1"/>
  <c r="D1751" i="1"/>
  <c r="E1751" i="1"/>
  <c r="F1751" i="1"/>
  <c r="C1573" i="1"/>
  <c r="D1573" i="1"/>
  <c r="E1573" i="1"/>
  <c r="F1573" i="1"/>
  <c r="C1752" i="1"/>
  <c r="D1752" i="1"/>
  <c r="E1752" i="1"/>
  <c r="F1752" i="1"/>
  <c r="C1864" i="1"/>
  <c r="D1864" i="1"/>
  <c r="E1864" i="1"/>
  <c r="F1864" i="1"/>
  <c r="C1891" i="1"/>
  <c r="D1891" i="1"/>
  <c r="E1891" i="1"/>
  <c r="F1891" i="1"/>
  <c r="C1312" i="1"/>
  <c r="D1312" i="1"/>
  <c r="E1312" i="1"/>
  <c r="F1312" i="1"/>
  <c r="C1808" i="1"/>
  <c r="D1808" i="1"/>
  <c r="E1808" i="1"/>
  <c r="F1808" i="1"/>
  <c r="C1919" i="1"/>
  <c r="D1919" i="1"/>
  <c r="E1919" i="1"/>
  <c r="F1919" i="1"/>
  <c r="C1712" i="1"/>
  <c r="D1712" i="1"/>
  <c r="E1712" i="1"/>
  <c r="F1712" i="1"/>
  <c r="C1762" i="1"/>
  <c r="D1762" i="1"/>
  <c r="E1762" i="1"/>
  <c r="F1762" i="1"/>
  <c r="C2051" i="1"/>
  <c r="D2051" i="1"/>
  <c r="E2051" i="1"/>
  <c r="F2051" i="1"/>
  <c r="C1511" i="1"/>
  <c r="D1511" i="1"/>
  <c r="E1511" i="1"/>
  <c r="F1511" i="1"/>
  <c r="C1941" i="1"/>
  <c r="D1941" i="1"/>
  <c r="E1941" i="1"/>
  <c r="F1941" i="1"/>
  <c r="C1464" i="1"/>
  <c r="D1464" i="1"/>
  <c r="E1464" i="1"/>
  <c r="F1464" i="1"/>
  <c r="C1902" i="1"/>
  <c r="D1902" i="1"/>
  <c r="E1902" i="1"/>
  <c r="F1902" i="1"/>
  <c r="C1554" i="1"/>
  <c r="D1554" i="1"/>
  <c r="E1554" i="1"/>
  <c r="F1554" i="1"/>
  <c r="C1309" i="1"/>
  <c r="D1309" i="1"/>
  <c r="E1309" i="1"/>
  <c r="F1309" i="1"/>
  <c r="C1330" i="1"/>
  <c r="D1330" i="1"/>
  <c r="E1330" i="1"/>
  <c r="F1330" i="1"/>
  <c r="C1250" i="1"/>
  <c r="D1250" i="1"/>
  <c r="E1250" i="1"/>
  <c r="F1250" i="1"/>
  <c r="C905" i="1"/>
  <c r="D905" i="1"/>
  <c r="E905" i="1"/>
  <c r="F905" i="1"/>
  <c r="C1841" i="1"/>
  <c r="D1841" i="1"/>
  <c r="E1841" i="1"/>
  <c r="F1841" i="1"/>
  <c r="C1455" i="1"/>
  <c r="D1455" i="1"/>
  <c r="E1455" i="1"/>
  <c r="F1455" i="1"/>
  <c r="C1870" i="1"/>
  <c r="D1870" i="1"/>
  <c r="E1870" i="1"/>
  <c r="F1870" i="1"/>
  <c r="C2175" i="1"/>
  <c r="D2175" i="1"/>
  <c r="E2175" i="1"/>
  <c r="F2175" i="1"/>
  <c r="C1962" i="1"/>
  <c r="D1962" i="1"/>
  <c r="E1962" i="1"/>
  <c r="F1962" i="1"/>
  <c r="C545" i="1"/>
  <c r="D545" i="1"/>
  <c r="E545" i="1"/>
  <c r="F545" i="1"/>
  <c r="C1071" i="1"/>
  <c r="D1071" i="1"/>
  <c r="E1071" i="1"/>
  <c r="F1071" i="1"/>
  <c r="C1208" i="1"/>
  <c r="D1208" i="1"/>
  <c r="E1208" i="1"/>
  <c r="F1208" i="1"/>
  <c r="C1418" i="1"/>
  <c r="D1418" i="1"/>
  <c r="E1418" i="1"/>
  <c r="F1418" i="1"/>
  <c r="C2220" i="1"/>
  <c r="D2220" i="1"/>
  <c r="E2220" i="1"/>
  <c r="F2220" i="1"/>
  <c r="C1939" i="1"/>
  <c r="D1939" i="1"/>
  <c r="E1939" i="1"/>
  <c r="F1939" i="1"/>
  <c r="C1742" i="1"/>
  <c r="D1742" i="1"/>
  <c r="E1742" i="1"/>
  <c r="F1742" i="1"/>
  <c r="C1790" i="1"/>
  <c r="D1790" i="1"/>
  <c r="E1790" i="1"/>
  <c r="F1790" i="1"/>
  <c r="C1651" i="1"/>
  <c r="D1651" i="1"/>
  <c r="C1614" i="1"/>
  <c r="D1614" i="1"/>
  <c r="C1343" i="1"/>
  <c r="D1343" i="1"/>
  <c r="C1738" i="1"/>
  <c r="D1738" i="1"/>
  <c r="C1544" i="1"/>
  <c r="D1544" i="1"/>
  <c r="C2244" i="1"/>
  <c r="D2244" i="1"/>
  <c r="E2244" i="1"/>
  <c r="F2244" i="1"/>
  <c r="C1840" i="1"/>
  <c r="D1840" i="1"/>
  <c r="E1840" i="1"/>
  <c r="F1840" i="1"/>
  <c r="C1533" i="1"/>
  <c r="D1533" i="1"/>
  <c r="E1533" i="1"/>
  <c r="F1533" i="1"/>
  <c r="C1650" i="1"/>
  <c r="D1650" i="1"/>
  <c r="C1340" i="1"/>
  <c r="D1340" i="1"/>
  <c r="E1340" i="1"/>
  <c r="F1340" i="1"/>
  <c r="C1008" i="1"/>
  <c r="D1008" i="1"/>
  <c r="E1008" i="1"/>
  <c r="F1008" i="1"/>
  <c r="C1375" i="1"/>
  <c r="D1375" i="1"/>
  <c r="E1375" i="1"/>
  <c r="F1375" i="1"/>
  <c r="C653" i="1"/>
  <c r="D653" i="1"/>
  <c r="E653" i="1"/>
  <c r="F653" i="1"/>
  <c r="C1245" i="1"/>
  <c r="D1245" i="1"/>
  <c r="E1245" i="1"/>
  <c r="F1245" i="1"/>
  <c r="C900" i="1"/>
  <c r="D900" i="1"/>
  <c r="E900" i="1"/>
  <c r="F900" i="1"/>
  <c r="C451" i="1"/>
  <c r="D451" i="1"/>
  <c r="E451" i="1"/>
  <c r="F451" i="1"/>
  <c r="C846" i="1"/>
  <c r="D846" i="1"/>
  <c r="E846" i="1"/>
  <c r="F846" i="1"/>
  <c r="C908" i="1"/>
  <c r="D908" i="1"/>
  <c r="E908" i="1"/>
  <c r="F908" i="1"/>
  <c r="C537" i="1"/>
  <c r="D537" i="1"/>
  <c r="E537" i="1"/>
  <c r="F537" i="1"/>
  <c r="C1613" i="1"/>
  <c r="D1613" i="1"/>
  <c r="E1613" i="1"/>
  <c r="F1613" i="1"/>
  <c r="C1213" i="1"/>
  <c r="D1213" i="1"/>
  <c r="E1213" i="1"/>
  <c r="F1213" i="1"/>
  <c r="C1108" i="1"/>
  <c r="D1108" i="1"/>
  <c r="E1108" i="1"/>
  <c r="F1108" i="1"/>
  <c r="C1239" i="1"/>
  <c r="D1239" i="1"/>
  <c r="E1239" i="1"/>
  <c r="F1239" i="1"/>
  <c r="C445" i="1"/>
  <c r="D445" i="1"/>
  <c r="E445" i="1"/>
  <c r="F445" i="1"/>
  <c r="C1145" i="1"/>
  <c r="D1145" i="1"/>
  <c r="E1145" i="1"/>
  <c r="F1145" i="1"/>
  <c r="C858" i="1"/>
  <c r="D858" i="1"/>
  <c r="E858" i="1"/>
  <c r="F858" i="1"/>
  <c r="C493" i="1"/>
  <c r="D493" i="1"/>
  <c r="E493" i="1"/>
  <c r="F493" i="1"/>
  <c r="C1333" i="1"/>
  <c r="D1333" i="1"/>
  <c r="E1333" i="1"/>
  <c r="F1333" i="1"/>
  <c r="C691" i="1"/>
  <c r="D691" i="1"/>
  <c r="E691" i="1"/>
  <c r="F691" i="1"/>
  <c r="C671" i="1"/>
  <c r="D671" i="1"/>
  <c r="E671" i="1"/>
  <c r="F671" i="1"/>
  <c r="C141" i="1"/>
  <c r="D141" i="1"/>
  <c r="E141" i="1"/>
  <c r="F141" i="1"/>
  <c r="C2079" i="1"/>
  <c r="D2079" i="1"/>
  <c r="E2079" i="1"/>
  <c r="F2079" i="1"/>
  <c r="C2107" i="1"/>
  <c r="D2107" i="1"/>
  <c r="E2107" i="1"/>
  <c r="F2107" i="1"/>
  <c r="C2264" i="1"/>
  <c r="D2264" i="1"/>
  <c r="E2264" i="1"/>
  <c r="F2264" i="1"/>
  <c r="C2265" i="1"/>
  <c r="D2265" i="1"/>
  <c r="E2265" i="1"/>
  <c r="F2265" i="1"/>
  <c r="C886" i="1"/>
  <c r="D886" i="1"/>
  <c r="E886" i="1"/>
  <c r="F886" i="1"/>
  <c r="C859" i="1"/>
  <c r="D859" i="1"/>
  <c r="E859" i="1"/>
  <c r="F859" i="1"/>
  <c r="C2296" i="1"/>
  <c r="D2296" i="1"/>
  <c r="E2296" i="1"/>
  <c r="F2296" i="1"/>
  <c r="C1690" i="1"/>
  <c r="D1690" i="1"/>
  <c r="E1690" i="1"/>
  <c r="F1690" i="1"/>
  <c r="C1847" i="1"/>
  <c r="D1847" i="1"/>
  <c r="E1847" i="1"/>
  <c r="F1847" i="1"/>
  <c r="C2141" i="1"/>
  <c r="D2141" i="1"/>
  <c r="E2141" i="1"/>
  <c r="F2141" i="1"/>
  <c r="C2109" i="1"/>
  <c r="D2109" i="1"/>
  <c r="E2109" i="1"/>
  <c r="F2109" i="1"/>
  <c r="C2142" i="1"/>
  <c r="D2142" i="1"/>
  <c r="E2142" i="1"/>
  <c r="F2142" i="1"/>
  <c r="C2105" i="1"/>
  <c r="D2105" i="1"/>
  <c r="E2105" i="1"/>
  <c r="F2105" i="1"/>
  <c r="C2106" i="1"/>
  <c r="D2106" i="1"/>
  <c r="E2106" i="1"/>
  <c r="F2106" i="1"/>
  <c r="C1109" i="1"/>
  <c r="D1109" i="1"/>
  <c r="E1109" i="1"/>
  <c r="F1109" i="1"/>
  <c r="C1510" i="1"/>
  <c r="D1510" i="1"/>
  <c r="E1510" i="1"/>
  <c r="F1510" i="1"/>
  <c r="C2246" i="1"/>
  <c r="D2246" i="1"/>
  <c r="E2246" i="1"/>
  <c r="F2246" i="1"/>
  <c r="C2311" i="1"/>
  <c r="D2311" i="1"/>
  <c r="E2311" i="1"/>
  <c r="F2311" i="1"/>
  <c r="C1564" i="1"/>
  <c r="D1564" i="1"/>
  <c r="E1564" i="1"/>
  <c r="F1564" i="1"/>
  <c r="C1141" i="1"/>
  <c r="D1141" i="1"/>
  <c r="E1141" i="1"/>
  <c r="F1141" i="1"/>
  <c r="C601" i="1"/>
  <c r="D601" i="1"/>
  <c r="E601" i="1"/>
  <c r="F601" i="1"/>
  <c r="C32" i="1"/>
  <c r="D32" i="1"/>
  <c r="E32" i="1"/>
  <c r="F32" i="1"/>
  <c r="C108" i="1"/>
  <c r="D108" i="1"/>
  <c r="E108" i="1"/>
  <c r="F108" i="1"/>
  <c r="C327" i="1"/>
  <c r="D327" i="1"/>
  <c r="E327" i="1"/>
  <c r="F327" i="1"/>
  <c r="C95" i="1"/>
  <c r="D95" i="1"/>
  <c r="E95" i="1"/>
  <c r="F95" i="1"/>
  <c r="C82" i="1"/>
  <c r="D82" i="1"/>
  <c r="E82" i="1"/>
  <c r="F82" i="1"/>
  <c r="C61" i="1"/>
  <c r="D61" i="1"/>
  <c r="E61" i="1"/>
  <c r="F61" i="1"/>
  <c r="C247" i="1"/>
  <c r="D247" i="1"/>
  <c r="E247" i="1"/>
  <c r="F247" i="1"/>
  <c r="C1013" i="1"/>
  <c r="D1013" i="1"/>
  <c r="E1013" i="1"/>
  <c r="F1013" i="1"/>
  <c r="C1233" i="1"/>
  <c r="D1233" i="1"/>
  <c r="E1233" i="1"/>
  <c r="F1233" i="1"/>
  <c r="C574" i="1"/>
  <c r="D574" i="1"/>
  <c r="E574" i="1"/>
  <c r="F574" i="1"/>
  <c r="C1935" i="1"/>
  <c r="D1935" i="1"/>
  <c r="E1935" i="1"/>
  <c r="F1935" i="1"/>
  <c r="C818" i="1"/>
  <c r="D818" i="1"/>
  <c r="E818" i="1"/>
  <c r="F818" i="1"/>
  <c r="C178" i="1"/>
  <c r="D178" i="1"/>
  <c r="E178" i="1"/>
  <c r="F178" i="1"/>
  <c r="C421" i="1"/>
  <c r="D421" i="1"/>
  <c r="E421" i="1"/>
  <c r="F421" i="1"/>
  <c r="C1499" i="1"/>
  <c r="D1499" i="1"/>
  <c r="E1499" i="1"/>
  <c r="F1499" i="1"/>
  <c r="C1530" i="1"/>
  <c r="D1530" i="1"/>
  <c r="E1530" i="1"/>
  <c r="F1530" i="1"/>
  <c r="C2143" i="1"/>
  <c r="D2143" i="1"/>
  <c r="E2143" i="1"/>
  <c r="F2143" i="1"/>
  <c r="C622" i="1"/>
  <c r="D622" i="1"/>
  <c r="E622" i="1"/>
  <c r="F622" i="1"/>
  <c r="C161" i="1"/>
  <c r="D161" i="1"/>
  <c r="E161" i="1"/>
  <c r="F161" i="1"/>
  <c r="C2083" i="1"/>
  <c r="D2083" i="1"/>
  <c r="E2083" i="1"/>
  <c r="F2083" i="1"/>
  <c r="C2138" i="1"/>
  <c r="D2138" i="1"/>
  <c r="E2138" i="1"/>
  <c r="F2138" i="1"/>
  <c r="C2058" i="1"/>
  <c r="D2058" i="1"/>
  <c r="E2058" i="1"/>
  <c r="F2058" i="1"/>
  <c r="C530" i="1"/>
  <c r="D530" i="1"/>
  <c r="E530" i="1"/>
  <c r="F530" i="1"/>
  <c r="C1683" i="1"/>
  <c r="D1683" i="1"/>
  <c r="E1683" i="1"/>
  <c r="F1683" i="1"/>
  <c r="C1877" i="1"/>
  <c r="D1877" i="1"/>
  <c r="E1877" i="1"/>
  <c r="F1877" i="1"/>
  <c r="C1476" i="1"/>
  <c r="D1476" i="1"/>
  <c r="E1476" i="1"/>
  <c r="F1476" i="1"/>
  <c r="C1329" i="1"/>
  <c r="D1329" i="1"/>
  <c r="E1329" i="1"/>
  <c r="F1329" i="1"/>
  <c r="C2016" i="1"/>
  <c r="D2016" i="1"/>
  <c r="E2016" i="1"/>
  <c r="F2016" i="1"/>
  <c r="C1680" i="1"/>
  <c r="D1680" i="1"/>
  <c r="E1680" i="1"/>
  <c r="F1680" i="1"/>
  <c r="C1450" i="1"/>
  <c r="D1450" i="1"/>
  <c r="E1450" i="1"/>
  <c r="F1450" i="1"/>
  <c r="C1395" i="1"/>
  <c r="D1395" i="1"/>
  <c r="E1395" i="1"/>
  <c r="F1395" i="1"/>
  <c r="C2137" i="1"/>
  <c r="D2137" i="1"/>
  <c r="E2137" i="1"/>
  <c r="F2137" i="1"/>
  <c r="C2157" i="1"/>
  <c r="D2157" i="1"/>
  <c r="E2157" i="1"/>
  <c r="F2157" i="1"/>
  <c r="C2158" i="1"/>
  <c r="D2158" i="1"/>
  <c r="E2158" i="1"/>
  <c r="F2158" i="1"/>
  <c r="C2036" i="1"/>
  <c r="D2036" i="1"/>
  <c r="E2036" i="1"/>
  <c r="F2036" i="1"/>
  <c r="C2110" i="1"/>
  <c r="D2110" i="1"/>
  <c r="E2110" i="1"/>
  <c r="F2110" i="1"/>
  <c r="C2017" i="1"/>
  <c r="D2017" i="1"/>
  <c r="E2017" i="1"/>
  <c r="F2017" i="1"/>
  <c r="C2190" i="1"/>
  <c r="D2190" i="1"/>
  <c r="E2190" i="1"/>
  <c r="F2190" i="1"/>
  <c r="C160" i="1"/>
  <c r="D160" i="1"/>
  <c r="E160" i="1"/>
  <c r="F160" i="1"/>
  <c r="C809" i="1"/>
  <c r="D809" i="1"/>
  <c r="E809" i="1"/>
  <c r="F809" i="1"/>
  <c r="C1019" i="1"/>
  <c r="D1019" i="1"/>
  <c r="E1019" i="1"/>
  <c r="F1019" i="1"/>
  <c r="C1144" i="1"/>
  <c r="D1144" i="1"/>
  <c r="E1144" i="1"/>
  <c r="F1144" i="1"/>
  <c r="C1267" i="1"/>
  <c r="D1267" i="1"/>
  <c r="E1267" i="1"/>
  <c r="F1267" i="1"/>
  <c r="C1384" i="1"/>
  <c r="D1384" i="1"/>
  <c r="E1384" i="1"/>
  <c r="F1384" i="1"/>
  <c r="C1747" i="1"/>
  <c r="D1747" i="1"/>
  <c r="E1747" i="1"/>
  <c r="F1747" i="1"/>
  <c r="C1863" i="1"/>
  <c r="D1863" i="1"/>
  <c r="E1863" i="1"/>
  <c r="F1863" i="1"/>
  <c r="C1995" i="1"/>
  <c r="D1995" i="1"/>
  <c r="E1995" i="1"/>
  <c r="F1995" i="1"/>
  <c r="C79" i="1"/>
  <c r="D79" i="1"/>
  <c r="E79" i="1"/>
  <c r="F79" i="1"/>
  <c r="C1522" i="1"/>
  <c r="D1522" i="1"/>
  <c r="E1522" i="1"/>
  <c r="F1522" i="1"/>
  <c r="C2069" i="1"/>
  <c r="D2069" i="1"/>
  <c r="E2069" i="1"/>
  <c r="F2069" i="1"/>
  <c r="C2010" i="1"/>
  <c r="D2010" i="1"/>
  <c r="E2010" i="1"/>
  <c r="F2010" i="1"/>
  <c r="C1608" i="1"/>
  <c r="D1608" i="1"/>
  <c r="E1608" i="1"/>
  <c r="F1608" i="1"/>
  <c r="C1377" i="1"/>
  <c r="D1377" i="1"/>
  <c r="E1377" i="1"/>
  <c r="F1377" i="1"/>
  <c r="C1339" i="1"/>
  <c r="D1339" i="1"/>
  <c r="E1339" i="1"/>
  <c r="F1339" i="1"/>
  <c r="C1018" i="1"/>
  <c r="D1018" i="1"/>
  <c r="E1018" i="1"/>
  <c r="F1018" i="1"/>
  <c r="C1358" i="1"/>
  <c r="D1358" i="1"/>
  <c r="E1358" i="1"/>
  <c r="F1358" i="1"/>
  <c r="C1807" i="1"/>
  <c r="D1807" i="1"/>
  <c r="E1807" i="1"/>
  <c r="F1807" i="1"/>
  <c r="C637" i="1"/>
  <c r="D637" i="1"/>
  <c r="E637" i="1"/>
  <c r="F637" i="1"/>
  <c r="C652" i="1"/>
  <c r="D652" i="1"/>
  <c r="E652" i="1"/>
  <c r="F652" i="1"/>
  <c r="C628" i="1"/>
  <c r="D628" i="1"/>
  <c r="E628" i="1"/>
  <c r="F628" i="1"/>
  <c r="C895" i="1"/>
  <c r="D895" i="1"/>
  <c r="E895" i="1"/>
  <c r="F895" i="1"/>
  <c r="C779" i="1"/>
  <c r="D779" i="1"/>
  <c r="E779" i="1"/>
  <c r="F779" i="1"/>
  <c r="C801" i="1"/>
  <c r="D801" i="1"/>
  <c r="E801" i="1"/>
  <c r="F801" i="1"/>
  <c r="C1462" i="1"/>
  <c r="D1462" i="1"/>
  <c r="E1462" i="1"/>
  <c r="F1462" i="1"/>
  <c r="C1458" i="1"/>
  <c r="D1458" i="1"/>
  <c r="E1458" i="1"/>
  <c r="F1458" i="1"/>
  <c r="C1381" i="1"/>
  <c r="D1381" i="1"/>
  <c r="E1381" i="1"/>
  <c r="F1381" i="1"/>
  <c r="C1274" i="1"/>
  <c r="D1274" i="1"/>
  <c r="E1274" i="1"/>
  <c r="F1274" i="1"/>
  <c r="C952" i="1"/>
  <c r="D952" i="1"/>
  <c r="E952" i="1"/>
  <c r="F952" i="1"/>
  <c r="C1000" i="1"/>
  <c r="D1000" i="1"/>
  <c r="E1000" i="1"/>
  <c r="F1000" i="1"/>
  <c r="C374" i="1"/>
  <c r="D374" i="1"/>
  <c r="E374" i="1"/>
  <c r="F374" i="1"/>
  <c r="C1668" i="1"/>
  <c r="D1668" i="1"/>
  <c r="E1668" i="1"/>
  <c r="F1668" i="1"/>
  <c r="C1434" i="1"/>
  <c r="D1434" i="1"/>
  <c r="E1434" i="1"/>
  <c r="F1434" i="1"/>
  <c r="C1024" i="1"/>
  <c r="D1024" i="1"/>
  <c r="E1024" i="1"/>
  <c r="F1024" i="1"/>
  <c r="C1472" i="1"/>
  <c r="D1472" i="1"/>
  <c r="E1472" i="1"/>
  <c r="F1472" i="1"/>
  <c r="C802" i="1"/>
  <c r="D802" i="1"/>
  <c r="E802" i="1"/>
  <c r="F802" i="1"/>
  <c r="C1444" i="1"/>
  <c r="D1444" i="1"/>
  <c r="E1444" i="1"/>
  <c r="F1444" i="1"/>
  <c r="C1112" i="1"/>
  <c r="D1112" i="1"/>
  <c r="E1112" i="1"/>
  <c r="F1112" i="1"/>
  <c r="C1278" i="1"/>
  <c r="D1278" i="1"/>
  <c r="E1278" i="1"/>
  <c r="F1278" i="1"/>
  <c r="C1127" i="1"/>
  <c r="D1127" i="1"/>
  <c r="E1127" i="1"/>
  <c r="F1127" i="1"/>
  <c r="C1053" i="1"/>
  <c r="D1053" i="1"/>
  <c r="E1053" i="1"/>
  <c r="F1053" i="1"/>
  <c r="C845" i="1"/>
  <c r="D845" i="1"/>
  <c r="E845" i="1"/>
  <c r="F845" i="1"/>
  <c r="C1594" i="1"/>
  <c r="D1594" i="1"/>
  <c r="E1594" i="1"/>
  <c r="F1594" i="1"/>
  <c r="C854" i="1"/>
  <c r="D854" i="1"/>
  <c r="E854" i="1"/>
  <c r="F854" i="1"/>
  <c r="C1101" i="1"/>
  <c r="D1101" i="1"/>
  <c r="E1101" i="1"/>
  <c r="F1101" i="1"/>
  <c r="C1351" i="1"/>
  <c r="D1351" i="1"/>
  <c r="E1351" i="1"/>
  <c r="F1351" i="1"/>
  <c r="C971" i="1"/>
  <c r="D971" i="1"/>
  <c r="E971" i="1"/>
  <c r="F971" i="1"/>
  <c r="C1295" i="1"/>
  <c r="D1295" i="1"/>
  <c r="E1295" i="1"/>
  <c r="F1295" i="1"/>
  <c r="C1710" i="1"/>
  <c r="D1710" i="1"/>
  <c r="E1710" i="1"/>
  <c r="F1710" i="1"/>
  <c r="C1817" i="1"/>
  <c r="D1817" i="1"/>
  <c r="E1817" i="1"/>
  <c r="F1817" i="1"/>
  <c r="C999" i="1"/>
  <c r="D999" i="1"/>
  <c r="E999" i="1"/>
  <c r="F999" i="1"/>
  <c r="C201" i="1"/>
  <c r="D201" i="1"/>
  <c r="E201" i="1"/>
  <c r="F201" i="1"/>
  <c r="C1693" i="1"/>
  <c r="D1693" i="1"/>
  <c r="E1693" i="1"/>
  <c r="F1693" i="1"/>
  <c r="C85" i="1"/>
  <c r="D85" i="1"/>
  <c r="E85" i="1"/>
  <c r="F85" i="1"/>
  <c r="C326" i="1"/>
  <c r="D326" i="1"/>
  <c r="E326" i="1"/>
  <c r="F326" i="1"/>
  <c r="C987" i="1"/>
  <c r="D987" i="1"/>
  <c r="E987" i="1"/>
  <c r="F987" i="1"/>
  <c r="C1806" i="1"/>
  <c r="D1806" i="1"/>
  <c r="E1806" i="1"/>
  <c r="F1806" i="1"/>
  <c r="C1664" i="1"/>
  <c r="D1664" i="1"/>
  <c r="E1664" i="1"/>
  <c r="F1664" i="1"/>
  <c r="C1610" i="1"/>
  <c r="D1610" i="1"/>
  <c r="E1610" i="1"/>
  <c r="F1610" i="1"/>
  <c r="C1389" i="1"/>
  <c r="D1389" i="1"/>
  <c r="E1389" i="1"/>
  <c r="F1389" i="1"/>
  <c r="C299" i="1"/>
  <c r="D299" i="1"/>
  <c r="E299" i="1"/>
  <c r="F299" i="1"/>
  <c r="C1447" i="1"/>
  <c r="D1447" i="1"/>
  <c r="E1447" i="1"/>
  <c r="F1447" i="1"/>
  <c r="C351" i="1"/>
  <c r="D351" i="1"/>
  <c r="E351" i="1"/>
  <c r="F351" i="1"/>
  <c r="C60" i="1"/>
  <c r="D60" i="1"/>
  <c r="E60" i="1"/>
  <c r="F60" i="1"/>
  <c r="C600" i="1"/>
  <c r="D600" i="1"/>
  <c r="E600" i="1"/>
  <c r="F600" i="1"/>
  <c r="C1143" i="1"/>
  <c r="D1143" i="1"/>
  <c r="E1143" i="1"/>
  <c r="F1143" i="1"/>
  <c r="C2022" i="1"/>
  <c r="D2022" i="1"/>
  <c r="E2022" i="1"/>
  <c r="F2022" i="1"/>
  <c r="C2063" i="1"/>
  <c r="D2063" i="1"/>
  <c r="E2063" i="1"/>
  <c r="F2063" i="1"/>
  <c r="C453" i="1"/>
  <c r="D453" i="1"/>
  <c r="E453" i="1"/>
  <c r="F453" i="1"/>
  <c r="C513" i="1"/>
  <c r="D513" i="1"/>
  <c r="E513" i="1"/>
  <c r="F513" i="1"/>
  <c r="C535" i="1"/>
  <c r="D535" i="1"/>
  <c r="E535" i="1"/>
  <c r="F535" i="1"/>
  <c r="C325" i="1"/>
  <c r="D325" i="1"/>
  <c r="E325" i="1"/>
  <c r="F325" i="1"/>
  <c r="C544" i="1"/>
  <c r="D544" i="1"/>
  <c r="E544" i="1"/>
  <c r="F544" i="1"/>
  <c r="C869" i="1"/>
  <c r="D869" i="1"/>
  <c r="E869" i="1"/>
  <c r="F869" i="1"/>
  <c r="C167" i="1"/>
  <c r="D167" i="1"/>
  <c r="E167" i="1"/>
  <c r="F167" i="1"/>
  <c r="C1354" i="1"/>
  <c r="D1354" i="1"/>
  <c r="E1354" i="1"/>
  <c r="F1354" i="1"/>
  <c r="C1843" i="1"/>
  <c r="D1843" i="1"/>
  <c r="E1843" i="1"/>
  <c r="F1843" i="1"/>
  <c r="C1065" i="1"/>
  <c r="D1065" i="1"/>
  <c r="E1065" i="1"/>
  <c r="F1065" i="1"/>
  <c r="C94" i="1"/>
  <c r="D94" i="1"/>
  <c r="E94" i="1"/>
  <c r="F94" i="1"/>
  <c r="C1986" i="1"/>
  <c r="D1986" i="1"/>
  <c r="E1986" i="1"/>
  <c r="F1986" i="1"/>
  <c r="C1507" i="1"/>
  <c r="D1507" i="1"/>
  <c r="E1507" i="1"/>
  <c r="F1507" i="1"/>
  <c r="C868" i="1"/>
  <c r="D868" i="1"/>
  <c r="E868" i="1"/>
  <c r="F868" i="1"/>
  <c r="C406" i="1"/>
  <c r="D406" i="1"/>
  <c r="E406" i="1"/>
  <c r="F406" i="1"/>
  <c r="C408" i="1"/>
  <c r="D408" i="1"/>
  <c r="E408" i="1"/>
  <c r="F408" i="1"/>
  <c r="C645" i="1"/>
  <c r="D645" i="1"/>
  <c r="E645" i="1"/>
  <c r="F645" i="1"/>
  <c r="C915" i="1"/>
  <c r="D915" i="1"/>
  <c r="E915" i="1"/>
  <c r="F915" i="1"/>
  <c r="C551" i="1"/>
  <c r="D551" i="1"/>
  <c r="E551" i="1"/>
  <c r="F551" i="1"/>
  <c r="C1883" i="1"/>
  <c r="D1883" i="1"/>
  <c r="E1883" i="1"/>
  <c r="F1883" i="1"/>
  <c r="C1662" i="1"/>
  <c r="D1662" i="1"/>
  <c r="E1662" i="1"/>
  <c r="F1662" i="1"/>
  <c r="C871" i="1"/>
  <c r="D871" i="1"/>
  <c r="E871" i="1"/>
  <c r="F871" i="1"/>
  <c r="C189" i="1"/>
  <c r="D189" i="1"/>
  <c r="E189" i="1"/>
  <c r="F189" i="1"/>
  <c r="C1856" i="1"/>
  <c r="D1856" i="1"/>
  <c r="E1856" i="1"/>
  <c r="F1856" i="1"/>
  <c r="C1923" i="1"/>
  <c r="D1923" i="1"/>
  <c r="E1923" i="1"/>
  <c r="F1923" i="1"/>
  <c r="C1170" i="1"/>
  <c r="D1170" i="1"/>
  <c r="E1170" i="1"/>
  <c r="F1170" i="1"/>
  <c r="C867" i="1"/>
  <c r="D867" i="1"/>
  <c r="E867" i="1"/>
  <c r="F867" i="1"/>
  <c r="C559" i="1"/>
  <c r="D559" i="1"/>
  <c r="E559" i="1"/>
  <c r="F559" i="1"/>
  <c r="C979" i="1"/>
  <c r="D979" i="1"/>
  <c r="E979" i="1"/>
  <c r="F979" i="1"/>
  <c r="C214" i="1"/>
  <c r="D214" i="1"/>
  <c r="E214" i="1"/>
  <c r="F214" i="1"/>
  <c r="C2241" i="1"/>
  <c r="D2241" i="1"/>
  <c r="E2241" i="1"/>
  <c r="F2241" i="1"/>
  <c r="C1632" i="1"/>
  <c r="D1632" i="1"/>
  <c r="E1632" i="1"/>
  <c r="F1632" i="1"/>
  <c r="C1410" i="1"/>
  <c r="D1410" i="1"/>
  <c r="E1410" i="1"/>
  <c r="F1410" i="1"/>
  <c r="C228" i="1"/>
  <c r="D228" i="1"/>
  <c r="E228" i="1"/>
  <c r="F228" i="1"/>
  <c r="C188" i="1"/>
  <c r="D188" i="1"/>
  <c r="E188" i="1"/>
  <c r="F188" i="1"/>
  <c r="C484" i="1"/>
  <c r="D484" i="1"/>
  <c r="E484" i="1"/>
  <c r="F484" i="1"/>
  <c r="C133" i="1"/>
  <c r="D133" i="1"/>
  <c r="E133" i="1"/>
  <c r="F133" i="1"/>
  <c r="C1760" i="1"/>
  <c r="D1760" i="1"/>
  <c r="E1760" i="1"/>
  <c r="F1760" i="1"/>
  <c r="C2080" i="1"/>
  <c r="D2080" i="1"/>
  <c r="E2080" i="1"/>
  <c r="F2080" i="1"/>
  <c r="C89" i="1"/>
  <c r="D89" i="1"/>
  <c r="E89" i="1"/>
  <c r="F89" i="1"/>
  <c r="C524" i="1"/>
  <c r="D524" i="1"/>
  <c r="E524" i="1"/>
  <c r="F524" i="1"/>
  <c r="C570" i="1"/>
  <c r="D570" i="1"/>
  <c r="E570" i="1"/>
  <c r="F570" i="1"/>
  <c r="C1119" i="1"/>
  <c r="D1119" i="1"/>
  <c r="E1119" i="1"/>
  <c r="F1119" i="1"/>
  <c r="C573" i="1"/>
  <c r="D573" i="1"/>
  <c r="E573" i="1"/>
  <c r="F573" i="1"/>
  <c r="C415" i="1"/>
  <c r="D415" i="1"/>
  <c r="E415" i="1"/>
  <c r="F415" i="1"/>
  <c r="C756" i="1"/>
  <c r="D756" i="1"/>
  <c r="E756" i="1"/>
  <c r="F756" i="1"/>
  <c r="C685" i="1"/>
  <c r="D685" i="1"/>
  <c r="E685" i="1"/>
  <c r="F685" i="1"/>
  <c r="C140" i="1"/>
  <c r="D140" i="1"/>
  <c r="E140" i="1"/>
  <c r="F140" i="1"/>
  <c r="C1890" i="1"/>
  <c r="D1890" i="1"/>
  <c r="E1890" i="1"/>
  <c r="F1890" i="1"/>
  <c r="C1946" i="1"/>
  <c r="D1946" i="1"/>
  <c r="E1946" i="1"/>
  <c r="F1946" i="1"/>
  <c r="C1401" i="1"/>
  <c r="D1401" i="1"/>
  <c r="E1401" i="1"/>
  <c r="F1401" i="1"/>
  <c r="C1187" i="1"/>
  <c r="D1187" i="1"/>
  <c r="E1187" i="1"/>
  <c r="F1187" i="1"/>
  <c r="C2213" i="1"/>
  <c r="D2213" i="1"/>
  <c r="E2213" i="1"/>
  <c r="F2213" i="1"/>
  <c r="C1149" i="1"/>
  <c r="D1149" i="1"/>
  <c r="E1149" i="1"/>
  <c r="F1149" i="1"/>
  <c r="C435" i="1"/>
  <c r="D435" i="1"/>
  <c r="E435" i="1"/>
  <c r="F435" i="1"/>
  <c r="C324" i="1"/>
  <c r="D324" i="1"/>
  <c r="E324" i="1"/>
  <c r="F324" i="1"/>
  <c r="C620" i="1"/>
  <c r="D620" i="1"/>
  <c r="E620" i="1"/>
  <c r="F620" i="1"/>
  <c r="C23" i="1"/>
  <c r="D23" i="1"/>
  <c r="E23" i="1"/>
  <c r="F23" i="1"/>
  <c r="C246" i="1"/>
  <c r="D246" i="1"/>
  <c r="E246" i="1"/>
  <c r="F246" i="1"/>
  <c r="C265" i="1"/>
  <c r="D265" i="1"/>
  <c r="E265" i="1"/>
  <c r="F265" i="1"/>
  <c r="C289" i="1"/>
  <c r="D289" i="1"/>
  <c r="E289" i="1"/>
  <c r="F289" i="1"/>
  <c r="C851" i="1"/>
  <c r="D851" i="1"/>
  <c r="E851" i="1"/>
  <c r="F851" i="1"/>
  <c r="C383" i="1"/>
  <c r="D383" i="1"/>
  <c r="E383" i="1"/>
  <c r="F383" i="1"/>
  <c r="C2096" i="1"/>
  <c r="D2096" i="1"/>
  <c r="E2096" i="1"/>
  <c r="F2096" i="1"/>
  <c r="C2049" i="1"/>
  <c r="D2049" i="1"/>
  <c r="E2049" i="1"/>
  <c r="F2049" i="1"/>
  <c r="C569" i="1"/>
  <c r="D569" i="1"/>
  <c r="E569" i="1"/>
  <c r="F569" i="1"/>
  <c r="C93" i="1"/>
  <c r="D93" i="1"/>
  <c r="E93" i="1"/>
  <c r="F93" i="1"/>
  <c r="C788" i="1"/>
  <c r="D788" i="1"/>
  <c r="E788" i="1"/>
  <c r="F788" i="1"/>
  <c r="C975" i="1"/>
  <c r="D975" i="1"/>
  <c r="E975" i="1"/>
  <c r="F975" i="1"/>
  <c r="C1138" i="1"/>
  <c r="D1138" i="1"/>
  <c r="E1138" i="1"/>
  <c r="F1138" i="1"/>
  <c r="C268" i="1"/>
  <c r="D268" i="1"/>
  <c r="E268" i="1"/>
  <c r="F268" i="1"/>
  <c r="C1289" i="1"/>
  <c r="D1289" i="1"/>
  <c r="E1289" i="1"/>
  <c r="F1289" i="1"/>
  <c r="C1368" i="1"/>
  <c r="D1368" i="1"/>
  <c r="E1368" i="1"/>
  <c r="F1368" i="1"/>
  <c r="C942" i="1"/>
  <c r="D942" i="1"/>
  <c r="E942" i="1"/>
  <c r="F942" i="1"/>
  <c r="C890" i="1"/>
  <c r="D890" i="1"/>
  <c r="E890" i="1"/>
  <c r="F890" i="1"/>
  <c r="C943" i="1"/>
  <c r="D943" i="1"/>
  <c r="E943" i="1"/>
  <c r="F943" i="1"/>
  <c r="C723" i="1"/>
  <c r="D723" i="1"/>
  <c r="E723" i="1"/>
  <c r="F723" i="1"/>
  <c r="C1304" i="1"/>
  <c r="D1304" i="1"/>
  <c r="E1304" i="1"/>
  <c r="F1304" i="1"/>
  <c r="C941" i="1"/>
  <c r="D941" i="1"/>
  <c r="E941" i="1"/>
  <c r="F941" i="1"/>
  <c r="C994" i="1"/>
  <c r="D994" i="1"/>
  <c r="E994" i="1"/>
  <c r="F994" i="1"/>
  <c r="C1280" i="1"/>
  <c r="D1280" i="1"/>
  <c r="E1280" i="1"/>
  <c r="F1280" i="1"/>
  <c r="C1023" i="1"/>
  <c r="D1023" i="1"/>
  <c r="E1023" i="1"/>
  <c r="F1023" i="1"/>
  <c r="C995" i="1"/>
  <c r="D995" i="1"/>
  <c r="E995" i="1"/>
  <c r="F995" i="1"/>
  <c r="C694" i="1"/>
  <c r="D694" i="1"/>
  <c r="E694" i="1"/>
  <c r="F694" i="1"/>
  <c r="C761" i="1"/>
  <c r="D761" i="1"/>
  <c r="E761" i="1"/>
  <c r="F761" i="1"/>
  <c r="C695" i="1"/>
  <c r="D695" i="1"/>
  <c r="E695" i="1"/>
  <c r="F695" i="1"/>
  <c r="C1514" i="1"/>
  <c r="D1514" i="1"/>
  <c r="E1514" i="1"/>
  <c r="F1514" i="1"/>
  <c r="C1218" i="1"/>
  <c r="D1218" i="1"/>
  <c r="E1218" i="1"/>
  <c r="F1218" i="1"/>
  <c r="C1039" i="1"/>
  <c r="D1039" i="1"/>
  <c r="E1039" i="1"/>
  <c r="F1039" i="1"/>
  <c r="C615" i="1"/>
  <c r="D615" i="1"/>
  <c r="E615" i="1"/>
  <c r="F615" i="1"/>
  <c r="C616" i="1"/>
  <c r="D616" i="1"/>
  <c r="E616" i="1"/>
  <c r="F616" i="1"/>
  <c r="C1254" i="1"/>
  <c r="D1254" i="1"/>
  <c r="E1254" i="1"/>
  <c r="F1254" i="1"/>
  <c r="C635" i="1"/>
  <c r="D635" i="1"/>
  <c r="E635" i="1"/>
  <c r="F635" i="1"/>
  <c r="C1611" i="1"/>
  <c r="D1611" i="1"/>
  <c r="E1611" i="1"/>
  <c r="F1611" i="1"/>
  <c r="C765" i="1"/>
  <c r="D765" i="1"/>
  <c r="E765" i="1"/>
  <c r="F765" i="1"/>
  <c r="C808" i="1"/>
  <c r="D808" i="1"/>
  <c r="E808" i="1"/>
  <c r="F808" i="1"/>
  <c r="C1822" i="1"/>
  <c r="D1822" i="1"/>
  <c r="E1822" i="1"/>
  <c r="F1822" i="1"/>
  <c r="C1774" i="1"/>
  <c r="D1774" i="1"/>
  <c r="E1774" i="1"/>
  <c r="F1774" i="1"/>
  <c r="C1341" i="1"/>
  <c r="D1341" i="1"/>
  <c r="E1341" i="1"/>
  <c r="F1341" i="1"/>
  <c r="C1701" i="1"/>
  <c r="D1701" i="1"/>
  <c r="E1701" i="1"/>
  <c r="F1701" i="1"/>
  <c r="C2180" i="1"/>
  <c r="D2180" i="1"/>
  <c r="E2180" i="1"/>
  <c r="F2180" i="1"/>
  <c r="C1342" i="1"/>
  <c r="D1342" i="1"/>
  <c r="E1342" i="1"/>
  <c r="F1342" i="1"/>
  <c r="C1445" i="1"/>
  <c r="D1445" i="1"/>
  <c r="E1445" i="1"/>
  <c r="F1445" i="1"/>
  <c r="C1436" i="1"/>
  <c r="D1436" i="1"/>
  <c r="E1436" i="1"/>
  <c r="F1436" i="1"/>
  <c r="C612" i="1"/>
  <c r="D612" i="1"/>
  <c r="E612" i="1"/>
  <c r="F612" i="1"/>
  <c r="C1281" i="1"/>
  <c r="D1281" i="1"/>
  <c r="E1281" i="1"/>
  <c r="F1281" i="1"/>
  <c r="C1416" i="1"/>
  <c r="D1416" i="1"/>
  <c r="E1416" i="1"/>
  <c r="F1416" i="1"/>
  <c r="C1780" i="1"/>
  <c r="D1780" i="1"/>
  <c r="E1780" i="1"/>
  <c r="F1780" i="1"/>
  <c r="C608" i="1"/>
  <c r="D608" i="1"/>
  <c r="E608" i="1"/>
  <c r="F608" i="1"/>
  <c r="C1268" i="1"/>
  <c r="D1268" i="1"/>
  <c r="E1268" i="1"/>
  <c r="F1268" i="1"/>
  <c r="C889" i="1"/>
  <c r="D889" i="1"/>
  <c r="E889" i="1"/>
  <c r="F889" i="1"/>
  <c r="C873" i="1"/>
  <c r="D873" i="1"/>
  <c r="E873" i="1"/>
  <c r="F873" i="1"/>
  <c r="C1323" i="1"/>
  <c r="D1323" i="1"/>
  <c r="E1323" i="1"/>
  <c r="F1323" i="1"/>
  <c r="C609" i="1"/>
  <c r="D609" i="1"/>
  <c r="E609" i="1"/>
  <c r="F609" i="1"/>
  <c r="C1279" i="1"/>
  <c r="D1279" i="1"/>
  <c r="E1279" i="1"/>
  <c r="F1279" i="1"/>
  <c r="C1220" i="1"/>
  <c r="D1220" i="1"/>
  <c r="E1220" i="1"/>
  <c r="F1220" i="1"/>
  <c r="C1366" i="1"/>
  <c r="D1366" i="1"/>
  <c r="E1366" i="1"/>
  <c r="F1366" i="1"/>
  <c r="C597" i="1"/>
  <c r="D597" i="1"/>
  <c r="E597" i="1"/>
  <c r="F597" i="1"/>
  <c r="C427" i="1"/>
  <c r="D427" i="1"/>
  <c r="E427" i="1"/>
  <c r="F427" i="1"/>
  <c r="C1459" i="1"/>
  <c r="D1459" i="1"/>
  <c r="E1459" i="1"/>
  <c r="F1459" i="1"/>
  <c r="C1328" i="1"/>
  <c r="D1328" i="1"/>
  <c r="E1328" i="1"/>
  <c r="F1328" i="1"/>
  <c r="C1777" i="1"/>
  <c r="D1777" i="1"/>
  <c r="E1777" i="1"/>
  <c r="F1777" i="1"/>
  <c r="C1524" i="1"/>
  <c r="D1524" i="1"/>
  <c r="E1524" i="1"/>
  <c r="F1524" i="1"/>
  <c r="C752" i="1"/>
  <c r="D752" i="1"/>
  <c r="E752" i="1"/>
  <c r="F752" i="1"/>
  <c r="C1302" i="1"/>
  <c r="D1302" i="1"/>
  <c r="E1302" i="1"/>
  <c r="F1302" i="1"/>
  <c r="C1626" i="1"/>
  <c r="D1626" i="1"/>
  <c r="E1626" i="1"/>
  <c r="F1626" i="1"/>
  <c r="C1571" i="1"/>
  <c r="D1571" i="1"/>
  <c r="E1571" i="1"/>
  <c r="F1571" i="1"/>
  <c r="C1048" i="1"/>
  <c r="D1048" i="1"/>
  <c r="E1048" i="1"/>
  <c r="F1048" i="1"/>
  <c r="C1228" i="1"/>
  <c r="D1228" i="1"/>
  <c r="E1228" i="1"/>
  <c r="F1228" i="1"/>
  <c r="C991" i="1"/>
  <c r="D991" i="1"/>
  <c r="E991" i="1"/>
  <c r="F991" i="1"/>
  <c r="C913" i="1"/>
  <c r="D913" i="1"/>
  <c r="E913" i="1"/>
  <c r="F913" i="1"/>
  <c r="C1405" i="1"/>
  <c r="D1405" i="1"/>
  <c r="E1405" i="1"/>
  <c r="F1405" i="1"/>
  <c r="C1711" i="1"/>
  <c r="D1711" i="1"/>
  <c r="E1711" i="1"/>
  <c r="F1711" i="1"/>
  <c r="C910" i="1"/>
  <c r="D910" i="1"/>
  <c r="E910" i="1"/>
  <c r="F910" i="1"/>
  <c r="C1014" i="1"/>
  <c r="D1014" i="1"/>
  <c r="E1014" i="1"/>
  <c r="F1014" i="1"/>
  <c r="C739" i="1"/>
  <c r="D739" i="1"/>
  <c r="E739" i="1"/>
  <c r="F739" i="1"/>
  <c r="C618" i="1"/>
  <c r="D618" i="1"/>
  <c r="E618" i="1"/>
  <c r="F618" i="1"/>
  <c r="C580" i="1"/>
  <c r="D580" i="1"/>
  <c r="E580" i="1"/>
  <c r="F580" i="1"/>
  <c r="C619" i="1"/>
  <c r="D619" i="1"/>
  <c r="E619" i="1"/>
  <c r="F619" i="1"/>
  <c r="C803" i="1"/>
  <c r="D803" i="1"/>
  <c r="E803" i="1"/>
  <c r="F803" i="1"/>
  <c r="C1093" i="1"/>
  <c r="D1093" i="1"/>
  <c r="E1093" i="1"/>
  <c r="F1093" i="1"/>
  <c r="C936" i="1"/>
  <c r="D936" i="1"/>
  <c r="E936" i="1"/>
  <c r="F936" i="1"/>
  <c r="C1513" i="1"/>
  <c r="D1513" i="1"/>
  <c r="E1513" i="1"/>
  <c r="F1513" i="1"/>
  <c r="C1589" i="1"/>
  <c r="D1589" i="1"/>
  <c r="E1589" i="1"/>
  <c r="F1589" i="1"/>
  <c r="C1629" i="1"/>
  <c r="D1629" i="1"/>
  <c r="E1629" i="1"/>
  <c r="F1629" i="1"/>
  <c r="C1588" i="1"/>
  <c r="D1588" i="1"/>
  <c r="E1588" i="1"/>
  <c r="F1588" i="1"/>
  <c r="C1959" i="1"/>
  <c r="D1959" i="1"/>
  <c r="E1959" i="1"/>
  <c r="F1959" i="1"/>
  <c r="C1974" i="1"/>
  <c r="D1974" i="1"/>
  <c r="E1974" i="1"/>
  <c r="F1974" i="1"/>
  <c r="C822" i="1"/>
  <c r="D822" i="1"/>
  <c r="E822" i="1"/>
  <c r="F822" i="1"/>
  <c r="C1431" i="1"/>
  <c r="D1431" i="1"/>
  <c r="E1431" i="1"/>
  <c r="F1431" i="1"/>
  <c r="C36" i="1"/>
  <c r="D36" i="1"/>
  <c r="E36" i="1"/>
  <c r="F36" i="1"/>
  <c r="C1006" i="1"/>
  <c r="D1006" i="1"/>
  <c r="E1006" i="1"/>
  <c r="F1006" i="1"/>
  <c r="C674" i="1"/>
  <c r="D674" i="1"/>
  <c r="E674" i="1"/>
  <c r="F674" i="1"/>
  <c r="C1042" i="1"/>
  <c r="D1042" i="1"/>
  <c r="E1042" i="1"/>
  <c r="F1042" i="1"/>
  <c r="C1277" i="1"/>
  <c r="D1277" i="1"/>
  <c r="E1277" i="1"/>
  <c r="F1277" i="1"/>
  <c r="C1523" i="1"/>
  <c r="D1523" i="1"/>
  <c r="E1523" i="1"/>
  <c r="F1523" i="1"/>
  <c r="C1830" i="1"/>
  <c r="D1830" i="1"/>
  <c r="E1830" i="1"/>
  <c r="F1830" i="1"/>
  <c r="C1764" i="1"/>
  <c r="D1764" i="1"/>
  <c r="E1764" i="1"/>
  <c r="F1764" i="1"/>
  <c r="C1705" i="1"/>
  <c r="D1705" i="1"/>
  <c r="E1705" i="1"/>
  <c r="F1705" i="1"/>
  <c r="C1269" i="1"/>
  <c r="D1269" i="1"/>
  <c r="E1269" i="1"/>
  <c r="F1269" i="1"/>
  <c r="C1001" i="1"/>
  <c r="D1001" i="1"/>
  <c r="E1001" i="1"/>
  <c r="F1001" i="1"/>
  <c r="C26" i="1"/>
  <c r="D26" i="1"/>
  <c r="E26" i="1"/>
  <c r="F26" i="1"/>
  <c r="C122" i="1"/>
  <c r="D122" i="1"/>
  <c r="E122" i="1"/>
  <c r="F122" i="1"/>
  <c r="C644" i="1"/>
  <c r="D644" i="1"/>
  <c r="E644" i="1"/>
  <c r="F644" i="1"/>
  <c r="C379" i="1"/>
  <c r="D379" i="1"/>
  <c r="E379" i="1"/>
  <c r="F379" i="1"/>
  <c r="C1596" i="1"/>
  <c r="D1596" i="1"/>
  <c r="E1596" i="1"/>
  <c r="F1596" i="1"/>
  <c r="C1349" i="1"/>
  <c r="D1349" i="1"/>
  <c r="E1349" i="1"/>
  <c r="F1349" i="1"/>
  <c r="C1927" i="1"/>
  <c r="D1927" i="1"/>
  <c r="E1927" i="1"/>
  <c r="F1927" i="1"/>
  <c r="C1631" i="1"/>
  <c r="D1631" i="1"/>
  <c r="E1631" i="1"/>
  <c r="F1631" i="1"/>
  <c r="C123" i="1"/>
  <c r="D123" i="1"/>
  <c r="E123" i="1"/>
  <c r="F123" i="1"/>
  <c r="C468" i="1"/>
  <c r="D468" i="1"/>
  <c r="E468" i="1"/>
  <c r="F468" i="1"/>
  <c r="C311" i="1"/>
  <c r="D311" i="1"/>
  <c r="E311" i="1"/>
  <c r="F311" i="1"/>
  <c r="C1506" i="1"/>
  <c r="D1506" i="1"/>
  <c r="E1506" i="1"/>
  <c r="F1506" i="1"/>
  <c r="C1475" i="1"/>
  <c r="D1475" i="1"/>
  <c r="E1475" i="1"/>
  <c r="F1475" i="1"/>
  <c r="C1440" i="1"/>
  <c r="D1440" i="1"/>
  <c r="E1440" i="1"/>
  <c r="F1440" i="1"/>
  <c r="C1838" i="1"/>
  <c r="D1838" i="1"/>
  <c r="E1838" i="1"/>
  <c r="F1838" i="1"/>
  <c r="C139" i="1"/>
  <c r="D139" i="1"/>
  <c r="E139" i="1"/>
  <c r="F139" i="1"/>
  <c r="C80" i="1"/>
  <c r="D80" i="1"/>
  <c r="E80" i="1"/>
  <c r="F80" i="1"/>
  <c r="C74" i="1"/>
  <c r="D74" i="1"/>
  <c r="E74" i="1"/>
  <c r="F74" i="1"/>
  <c r="C541" i="1"/>
  <c r="D541" i="1"/>
  <c r="E541" i="1"/>
  <c r="F541" i="1"/>
  <c r="C131" i="1"/>
  <c r="D131" i="1"/>
  <c r="E131" i="1"/>
  <c r="F131" i="1"/>
  <c r="C1376" i="1"/>
  <c r="D1376" i="1"/>
  <c r="E1376" i="1"/>
  <c r="F1376" i="1"/>
  <c r="C207" i="1"/>
  <c r="D207" i="1"/>
  <c r="E207" i="1"/>
  <c r="F207" i="1"/>
  <c r="C1810" i="1"/>
  <c r="D1810" i="1"/>
  <c r="E1810" i="1"/>
  <c r="F1810" i="1"/>
  <c r="C1855" i="1"/>
  <c r="D1855" i="1"/>
  <c r="E1855" i="1"/>
  <c r="F1855" i="1"/>
  <c r="C187" i="1"/>
  <c r="D187" i="1"/>
  <c r="E187" i="1"/>
  <c r="F187" i="1"/>
  <c r="C1155" i="1"/>
  <c r="D1155" i="1"/>
  <c r="E1155" i="1"/>
  <c r="F1155" i="1"/>
  <c r="C288" i="1"/>
  <c r="D288" i="1"/>
  <c r="E288" i="1"/>
  <c r="F288" i="1"/>
  <c r="C1010" i="1"/>
  <c r="D1010" i="1"/>
  <c r="E1010" i="1"/>
  <c r="F1010" i="1"/>
  <c r="C1028" i="1"/>
  <c r="D1028" i="1"/>
  <c r="E1028" i="1"/>
  <c r="F1028" i="1"/>
  <c r="C663" i="1"/>
  <c r="D663" i="1"/>
  <c r="E663" i="1"/>
  <c r="F663" i="1"/>
  <c r="C454" i="1"/>
  <c r="D454" i="1"/>
  <c r="E454" i="1"/>
  <c r="F454" i="1"/>
  <c r="C1531" i="1"/>
  <c r="D1531" i="1"/>
  <c r="E1531" i="1"/>
  <c r="F1531" i="1"/>
  <c r="C1443" i="1"/>
  <c r="D1443" i="1"/>
  <c r="E1443" i="1"/>
  <c r="F1443" i="1"/>
  <c r="C272" i="1"/>
  <c r="D272" i="1"/>
  <c r="E272" i="1"/>
  <c r="F272" i="1"/>
  <c r="C229" i="1"/>
  <c r="D229" i="1"/>
  <c r="E229" i="1"/>
  <c r="F229" i="1"/>
  <c r="C662" i="1"/>
  <c r="D662" i="1"/>
  <c r="E662" i="1"/>
  <c r="F662" i="1"/>
  <c r="C56" i="1"/>
  <c r="D56" i="1"/>
  <c r="E56" i="1"/>
  <c r="F56" i="1"/>
  <c r="C1357" i="1"/>
  <c r="D1357" i="1"/>
  <c r="E1357" i="1"/>
  <c r="F1357" i="1"/>
  <c r="C1551" i="1"/>
  <c r="D1551" i="1"/>
  <c r="E1551" i="1"/>
  <c r="F1551" i="1"/>
  <c r="C1560" i="1"/>
  <c r="D1560" i="1"/>
  <c r="E1560" i="1"/>
  <c r="F1560" i="1"/>
  <c r="C1061" i="1"/>
  <c r="D1061" i="1"/>
  <c r="E1061" i="1"/>
  <c r="F1061" i="1"/>
  <c r="C1496" i="1"/>
  <c r="D1496" i="1"/>
  <c r="E1496" i="1"/>
  <c r="F1496" i="1"/>
  <c r="C1827" i="1"/>
  <c r="D1827" i="1"/>
  <c r="E1827" i="1"/>
  <c r="F1827" i="1"/>
  <c r="C1977" i="1"/>
  <c r="D1977" i="1"/>
  <c r="E1977" i="1"/>
  <c r="F1977" i="1"/>
  <c r="C965" i="1"/>
  <c r="D965" i="1"/>
  <c r="E965" i="1"/>
  <c r="F965" i="1"/>
  <c r="C2035" i="1"/>
  <c r="D2035" i="1"/>
  <c r="E2035" i="1"/>
  <c r="F2035" i="1"/>
  <c r="C1824" i="1"/>
  <c r="D1824" i="1"/>
  <c r="E1824" i="1"/>
  <c r="F1824" i="1"/>
  <c r="C1825" i="1"/>
  <c r="D1825" i="1"/>
  <c r="E1825" i="1"/>
  <c r="F1825" i="1"/>
  <c r="C1865" i="1"/>
  <c r="D1865" i="1"/>
  <c r="E1865" i="1"/>
  <c r="F1865" i="1"/>
  <c r="C1826" i="1"/>
  <c r="D1826" i="1"/>
  <c r="E1826" i="1"/>
  <c r="F1826" i="1"/>
  <c r="C1525" i="1"/>
  <c r="D1525" i="1"/>
  <c r="E1525" i="1"/>
  <c r="F1525" i="1"/>
  <c r="C1317" i="1"/>
  <c r="D1317" i="1"/>
  <c r="E1317" i="1"/>
  <c r="F1317" i="1"/>
  <c r="C1060" i="1"/>
  <c r="D1060" i="1"/>
  <c r="E1060" i="1"/>
  <c r="F1060" i="1"/>
  <c r="C1584" i="1"/>
  <c r="D1584" i="1"/>
  <c r="E1584" i="1"/>
  <c r="F1584" i="1"/>
  <c r="C2230" i="1"/>
  <c r="D2230" i="1"/>
  <c r="E2230" i="1"/>
  <c r="F2230" i="1"/>
  <c r="C2254" i="1"/>
  <c r="D2254" i="1"/>
  <c r="E2254" i="1"/>
  <c r="F2254" i="1"/>
  <c r="C1726" i="1"/>
  <c r="D1726" i="1"/>
  <c r="E1726" i="1"/>
  <c r="F1726" i="1"/>
  <c r="C1801" i="1"/>
  <c r="D1801" i="1"/>
  <c r="E1801" i="1"/>
  <c r="F1801" i="1"/>
  <c r="C1965" i="1"/>
  <c r="D1965" i="1"/>
  <c r="E1965" i="1"/>
  <c r="F1965" i="1"/>
  <c r="C2129" i="1"/>
  <c r="D2129" i="1"/>
  <c r="E2129" i="1"/>
  <c r="F2129" i="1"/>
  <c r="C2257" i="1"/>
  <c r="D2257" i="1"/>
  <c r="E2257" i="1"/>
  <c r="F2257" i="1"/>
  <c r="C1221" i="1"/>
  <c r="D1221" i="1"/>
  <c r="E1221" i="1"/>
  <c r="F1221" i="1"/>
  <c r="C1488" i="1"/>
  <c r="D1488" i="1"/>
  <c r="E1488" i="1"/>
  <c r="F1488" i="1"/>
  <c r="C1432" i="1"/>
  <c r="D1432" i="1"/>
  <c r="E1432" i="1"/>
  <c r="F1432" i="1"/>
  <c r="C1140" i="1"/>
  <c r="D1140" i="1"/>
  <c r="E1140" i="1"/>
  <c r="F1140" i="1"/>
  <c r="C1928" i="1"/>
  <c r="D1928" i="1"/>
  <c r="E1928" i="1"/>
  <c r="F1928" i="1"/>
  <c r="C2182" i="1"/>
  <c r="D2182" i="1"/>
  <c r="E2182" i="1"/>
  <c r="F2182" i="1"/>
  <c r="C1768" i="1"/>
  <c r="D1768" i="1"/>
  <c r="E1768" i="1"/>
  <c r="F1768" i="1"/>
  <c r="C1448" i="1"/>
  <c r="D1448" i="1"/>
  <c r="E1448" i="1"/>
  <c r="F1448" i="1"/>
  <c r="C2258" i="1"/>
  <c r="D2258" i="1"/>
  <c r="E2258" i="1"/>
  <c r="F2258" i="1"/>
  <c r="C1895" i="1"/>
  <c r="D1895" i="1"/>
  <c r="E1895" i="1"/>
  <c r="F1895" i="1"/>
  <c r="C1930" i="1"/>
  <c r="D1930" i="1"/>
  <c r="E1930" i="1"/>
  <c r="F1930" i="1"/>
  <c r="C2131" i="1"/>
  <c r="D2131" i="1"/>
  <c r="E2131" i="1"/>
  <c r="F2131" i="1"/>
  <c r="C2225" i="1"/>
  <c r="D2225" i="1"/>
  <c r="E2225" i="1"/>
  <c r="F2225" i="1"/>
  <c r="C2218" i="1"/>
  <c r="D2218" i="1"/>
  <c r="E2218" i="1"/>
  <c r="F2218" i="1"/>
  <c r="C1709" i="1"/>
  <c r="D1709" i="1"/>
  <c r="E1709" i="1"/>
  <c r="F1709" i="1"/>
  <c r="C1687" i="1"/>
  <c r="D1687" i="1"/>
  <c r="E1687" i="1"/>
  <c r="F1687" i="1"/>
  <c r="C1918" i="1"/>
  <c r="D1918" i="1"/>
  <c r="E1918" i="1"/>
  <c r="F1918" i="1"/>
  <c r="C1936" i="1"/>
  <c r="D1936" i="1"/>
  <c r="E1936" i="1"/>
  <c r="F1936" i="1"/>
  <c r="C371" i="1"/>
  <c r="D371" i="1"/>
  <c r="E371" i="1"/>
  <c r="F371" i="1"/>
  <c r="C216" i="1"/>
  <c r="D216" i="1"/>
  <c r="E216" i="1"/>
  <c r="F216" i="1"/>
  <c r="C1667" i="1"/>
  <c r="D1667" i="1"/>
  <c r="E1667" i="1"/>
  <c r="F1667" i="1"/>
  <c r="C841" i="1"/>
  <c r="D841" i="1"/>
  <c r="E841" i="1"/>
  <c r="F841" i="1"/>
  <c r="C2147" i="1"/>
  <c r="D2147" i="1"/>
  <c r="E2147" i="1"/>
  <c r="F2147" i="1"/>
  <c r="C1454" i="1"/>
  <c r="D1454" i="1"/>
  <c r="E1454" i="1"/>
  <c r="F1454" i="1"/>
  <c r="C206" i="1"/>
  <c r="D206" i="1"/>
  <c r="E206" i="1"/>
  <c r="F206" i="1"/>
  <c r="C840" i="1"/>
  <c r="D840" i="1"/>
  <c r="E840" i="1"/>
  <c r="F840" i="1"/>
  <c r="C731" i="1"/>
  <c r="D731" i="1"/>
  <c r="E731" i="1"/>
  <c r="F731" i="1"/>
  <c r="C661" i="1"/>
  <c r="D661" i="1"/>
  <c r="E661" i="1"/>
  <c r="F661" i="1"/>
  <c r="C2193" i="1"/>
  <c r="D2193" i="1"/>
  <c r="E2193" i="1"/>
  <c r="F2193" i="1"/>
  <c r="C2026" i="1"/>
  <c r="D2026" i="1"/>
  <c r="E2026" i="1"/>
  <c r="F2026" i="1"/>
  <c r="C1688" i="1"/>
  <c r="D1688" i="1"/>
  <c r="E1688" i="1"/>
  <c r="F1688" i="1"/>
  <c r="C1702" i="1"/>
  <c r="D1702" i="1"/>
  <c r="E1702" i="1"/>
  <c r="F1702" i="1"/>
  <c r="C1104" i="1"/>
  <c r="D1104" i="1"/>
  <c r="E1104" i="1"/>
  <c r="F1104" i="1"/>
  <c r="C523" i="1"/>
  <c r="D523" i="1"/>
  <c r="E523" i="1"/>
  <c r="F523" i="1"/>
  <c r="C945" i="1"/>
  <c r="D945" i="1"/>
  <c r="E945" i="1"/>
  <c r="F945" i="1"/>
  <c r="C539" i="1"/>
  <c r="D539" i="1"/>
  <c r="E539" i="1"/>
  <c r="F539" i="1"/>
  <c r="C1346" i="1"/>
  <c r="D1346" i="1"/>
  <c r="E1346" i="1"/>
  <c r="F1346" i="1"/>
  <c r="C287" i="1"/>
  <c r="D287" i="1"/>
  <c r="E287" i="1"/>
  <c r="F287" i="1"/>
  <c r="C250" i="1"/>
  <c r="D250" i="1"/>
  <c r="E250" i="1"/>
  <c r="F250" i="1"/>
  <c r="C259" i="1"/>
  <c r="D259" i="1"/>
  <c r="E259" i="1"/>
  <c r="F259" i="1"/>
  <c r="C1695" i="1"/>
  <c r="D1695" i="1"/>
  <c r="E1695" i="1"/>
  <c r="F1695" i="1"/>
  <c r="C249" i="1"/>
  <c r="D249" i="1"/>
  <c r="E249" i="1"/>
  <c r="F249" i="1"/>
  <c r="C1261" i="1"/>
  <c r="D1261" i="1"/>
  <c r="E1261" i="1"/>
  <c r="F1261" i="1"/>
  <c r="C2237" i="1"/>
  <c r="D2237" i="1"/>
  <c r="E2237" i="1"/>
  <c r="F2237" i="1"/>
  <c r="C1118" i="1"/>
  <c r="D1118" i="1"/>
  <c r="E1118" i="1"/>
  <c r="F1118" i="1"/>
  <c r="C2229" i="1"/>
  <c r="D2229" i="1"/>
  <c r="E2229" i="1"/>
  <c r="F2229" i="1"/>
  <c r="C828" i="1"/>
  <c r="D828" i="1"/>
  <c r="E828" i="1"/>
  <c r="F828" i="1"/>
  <c r="C180" i="1"/>
  <c r="D180" i="1"/>
  <c r="E180" i="1"/>
  <c r="F180" i="1"/>
  <c r="C1682" i="1"/>
  <c r="D1682" i="1"/>
  <c r="E1682" i="1"/>
  <c r="F1682" i="1"/>
  <c r="C899" i="1"/>
  <c r="D899" i="1"/>
  <c r="E899" i="1"/>
  <c r="F899" i="1"/>
  <c r="C496" i="1"/>
  <c r="D496" i="1"/>
  <c r="E496" i="1"/>
  <c r="F496" i="1"/>
  <c r="C478" i="1"/>
  <c r="D478" i="1"/>
  <c r="E478" i="1"/>
  <c r="F478" i="1"/>
  <c r="C1795" i="1"/>
  <c r="D1795" i="1"/>
  <c r="E1795" i="1"/>
  <c r="F1795" i="1"/>
  <c r="C2084" i="1"/>
  <c r="D2084" i="1"/>
  <c r="E2084" i="1"/>
  <c r="F2084" i="1"/>
  <c r="C639" i="1"/>
  <c r="D639" i="1"/>
  <c r="E639" i="1"/>
  <c r="F639" i="1"/>
  <c r="C1583" i="1"/>
  <c r="D1583" i="1"/>
  <c r="E1583" i="1"/>
  <c r="F1583" i="1"/>
  <c r="C1400" i="1"/>
  <c r="D1400" i="1"/>
  <c r="E1400" i="1"/>
  <c r="F1400" i="1"/>
  <c r="C1715" i="1"/>
  <c r="D1715" i="1"/>
  <c r="E1715" i="1"/>
  <c r="F1715" i="1"/>
  <c r="C1498" i="1"/>
  <c r="D1498" i="1"/>
  <c r="E1498" i="1"/>
  <c r="F1498" i="1"/>
  <c r="C1755" i="1"/>
  <c r="D1755" i="1"/>
  <c r="E1755" i="1"/>
  <c r="F1755" i="1"/>
  <c r="C1767" i="1"/>
  <c r="D1767" i="1"/>
  <c r="E1767" i="1"/>
  <c r="F1767" i="1"/>
  <c r="C338" i="1"/>
  <c r="D338" i="1"/>
  <c r="E338" i="1"/>
  <c r="F338" i="1"/>
  <c r="C441" i="1"/>
  <c r="D441" i="1"/>
  <c r="E441" i="1"/>
  <c r="F441" i="1"/>
  <c r="C262" i="1"/>
  <c r="D262" i="1"/>
  <c r="E262" i="1"/>
  <c r="F262" i="1"/>
  <c r="C631" i="1"/>
  <c r="D631" i="1"/>
  <c r="E631" i="1"/>
  <c r="F631" i="1"/>
  <c r="C1517" i="1"/>
  <c r="D1517" i="1"/>
  <c r="E1517" i="1"/>
  <c r="F1517" i="1"/>
  <c r="C1993" i="1"/>
  <c r="D1993" i="1"/>
  <c r="E1993" i="1"/>
  <c r="F1993" i="1"/>
  <c r="C2012" i="1"/>
  <c r="D2012" i="1"/>
  <c r="E2012" i="1"/>
  <c r="F2012" i="1"/>
  <c r="C2119" i="1"/>
  <c r="D2119" i="1"/>
  <c r="E2119" i="1"/>
  <c r="F2119" i="1"/>
  <c r="C276" i="1"/>
  <c r="D276" i="1"/>
  <c r="E276" i="1"/>
  <c r="F276" i="1"/>
  <c r="C323" i="1"/>
  <c r="D323" i="1"/>
  <c r="E323" i="1"/>
  <c r="F323" i="1"/>
  <c r="C298" i="1"/>
  <c r="D298" i="1"/>
  <c r="E298" i="1"/>
  <c r="F298" i="1"/>
  <c r="C1386" i="1"/>
  <c r="D1386" i="1"/>
  <c r="E1386" i="1"/>
  <c r="F1386" i="1"/>
  <c r="C1741" i="1"/>
  <c r="D1741" i="1"/>
  <c r="E1741" i="1"/>
  <c r="F1741" i="1"/>
  <c r="C1321" i="1"/>
  <c r="D1321" i="1"/>
  <c r="E1321" i="1"/>
  <c r="F1321" i="1"/>
  <c r="C1095" i="1"/>
  <c r="D1095" i="1"/>
  <c r="E1095" i="1"/>
  <c r="F1095" i="1"/>
  <c r="C1597" i="1"/>
  <c r="D1597" i="1"/>
  <c r="E1597" i="1"/>
  <c r="F1597" i="1"/>
  <c r="C1548" i="1"/>
  <c r="D1548" i="1"/>
  <c r="E1548" i="1"/>
  <c r="F1548" i="1"/>
  <c r="C866" i="1"/>
  <c r="D866" i="1"/>
  <c r="E866" i="1"/>
  <c r="F866" i="1"/>
  <c r="C651" i="1"/>
  <c r="D651" i="1"/>
  <c r="E651" i="1"/>
  <c r="F651" i="1"/>
  <c r="C1409" i="1"/>
  <c r="D1409" i="1"/>
  <c r="E1409" i="1"/>
  <c r="F1409" i="1"/>
  <c r="C1113" i="1"/>
  <c r="D1113" i="1"/>
  <c r="E1113" i="1"/>
  <c r="F1113" i="1"/>
  <c r="C398" i="1"/>
  <c r="D398" i="1"/>
  <c r="E398" i="1"/>
  <c r="F398" i="1"/>
  <c r="C172" i="1"/>
  <c r="D172" i="1"/>
  <c r="E172" i="1"/>
  <c r="F172" i="1"/>
  <c r="C135" i="1"/>
  <c r="D135" i="1"/>
  <c r="E135" i="1"/>
  <c r="F135" i="1"/>
  <c r="C1373" i="1"/>
  <c r="D1373" i="1"/>
  <c r="E1373" i="1"/>
  <c r="F1373" i="1"/>
  <c r="C624" i="1"/>
  <c r="D624" i="1"/>
  <c r="E624" i="1"/>
  <c r="F624" i="1"/>
  <c r="C522" i="1"/>
  <c r="D522" i="1"/>
  <c r="E522" i="1"/>
  <c r="F522" i="1"/>
  <c r="C102" i="1"/>
  <c r="D102" i="1"/>
  <c r="E102" i="1"/>
  <c r="F102" i="1"/>
  <c r="C737" i="1"/>
  <c r="D737" i="1"/>
  <c r="E737" i="1"/>
  <c r="F737" i="1"/>
  <c r="C134" i="1"/>
  <c r="D134" i="1"/>
  <c r="E134" i="1"/>
  <c r="F134" i="1"/>
  <c r="C1080" i="1"/>
  <c r="D1080" i="1"/>
  <c r="E1080" i="1"/>
  <c r="F1080" i="1"/>
  <c r="C302" i="1"/>
  <c r="D302" i="1"/>
  <c r="E302" i="1"/>
  <c r="F302" i="1"/>
  <c r="C286" i="1"/>
  <c r="D286" i="1"/>
  <c r="E286" i="1"/>
  <c r="F286" i="1"/>
  <c r="C805" i="1"/>
  <c r="D805" i="1"/>
  <c r="E805" i="1"/>
  <c r="F805" i="1"/>
  <c r="C611" i="1"/>
  <c r="D611" i="1"/>
  <c r="E611" i="1"/>
  <c r="F611" i="1"/>
  <c r="C814" i="1"/>
  <c r="D814" i="1"/>
  <c r="E814" i="1"/>
  <c r="F814" i="1"/>
  <c r="C592" i="1"/>
  <c r="D592" i="1"/>
  <c r="E592" i="1"/>
  <c r="F592" i="1"/>
  <c r="C763" i="1"/>
  <c r="D763" i="1"/>
  <c r="E763" i="1"/>
  <c r="F763" i="1"/>
  <c r="C424" i="1"/>
  <c r="D424" i="1"/>
  <c r="E424" i="1"/>
  <c r="F424" i="1"/>
  <c r="C769" i="1"/>
  <c r="D769" i="1"/>
  <c r="E769" i="1"/>
  <c r="F769" i="1"/>
  <c r="C474" i="1"/>
  <c r="D474" i="1"/>
  <c r="E474" i="1"/>
  <c r="F474" i="1"/>
  <c r="C780" i="1"/>
  <c r="D780" i="1"/>
  <c r="E780" i="1"/>
  <c r="F780" i="1"/>
  <c r="C621" i="1"/>
  <c r="D621" i="1"/>
  <c r="E621" i="1"/>
  <c r="F621" i="1"/>
  <c r="C138" i="1"/>
  <c r="D138" i="1"/>
  <c r="E138" i="1"/>
  <c r="F138" i="1"/>
  <c r="C579" i="1"/>
  <c r="D579" i="1"/>
  <c r="E579" i="1"/>
  <c r="F579" i="1"/>
  <c r="C440" i="1"/>
  <c r="D440" i="1"/>
  <c r="E440" i="1"/>
  <c r="F440" i="1"/>
  <c r="C585" i="1"/>
  <c r="D585" i="1"/>
  <c r="E585" i="1"/>
  <c r="F585" i="1"/>
  <c r="C499" i="1"/>
  <c r="D499" i="1"/>
  <c r="E499" i="1"/>
  <c r="F499" i="1"/>
  <c r="C596" i="1"/>
  <c r="D596" i="1"/>
  <c r="E596" i="1"/>
  <c r="F596" i="1"/>
  <c r="C113" i="1"/>
  <c r="D113" i="1"/>
  <c r="E113" i="1"/>
  <c r="F113" i="1"/>
  <c r="C459" i="1"/>
  <c r="D459" i="1"/>
  <c r="E459" i="1"/>
  <c r="F459" i="1"/>
  <c r="C112" i="1"/>
  <c r="D112" i="1"/>
  <c r="E112" i="1"/>
  <c r="F112" i="1"/>
  <c r="C614" i="1"/>
  <c r="D614" i="1"/>
  <c r="E614" i="1"/>
  <c r="F614" i="1"/>
  <c r="C137" i="1"/>
  <c r="D137" i="1"/>
  <c r="E137" i="1"/>
  <c r="F137" i="1"/>
  <c r="C87" i="1"/>
  <c r="D87" i="1"/>
  <c r="E87" i="1"/>
  <c r="F87" i="1"/>
  <c r="C595" i="1"/>
  <c r="D595" i="1"/>
  <c r="E595" i="1"/>
  <c r="F595" i="1"/>
  <c r="C91" i="1"/>
  <c r="D91" i="1"/>
  <c r="E91" i="1"/>
  <c r="F91" i="1"/>
  <c r="C492" i="1"/>
  <c r="D492" i="1"/>
  <c r="E492" i="1"/>
  <c r="F492" i="1"/>
  <c r="C92" i="1"/>
  <c r="D92" i="1"/>
  <c r="E92" i="1"/>
  <c r="F92" i="1"/>
  <c r="C458" i="1"/>
  <c r="D458" i="1"/>
  <c r="E458" i="1"/>
  <c r="F458" i="1"/>
  <c r="C99" i="1"/>
  <c r="D99" i="1"/>
  <c r="E99" i="1"/>
  <c r="F99" i="1"/>
  <c r="C154" i="1"/>
  <c r="D154" i="1"/>
  <c r="E154" i="1"/>
  <c r="F154" i="1"/>
  <c r="C66" i="1"/>
  <c r="D66" i="1"/>
  <c r="E66" i="1"/>
  <c r="F66" i="1"/>
  <c r="C444" i="1"/>
  <c r="D444" i="1"/>
  <c r="E444" i="1"/>
  <c r="F444" i="1"/>
  <c r="C69" i="1"/>
  <c r="D69" i="1"/>
  <c r="E69" i="1"/>
  <c r="F69" i="1"/>
  <c r="C232" i="1"/>
  <c r="D232" i="1"/>
  <c r="E232" i="1"/>
  <c r="F232" i="1"/>
  <c r="C70" i="1"/>
  <c r="D70" i="1"/>
  <c r="E70" i="1"/>
  <c r="F70" i="1"/>
  <c r="C238" i="1"/>
  <c r="D238" i="1"/>
  <c r="E238" i="1"/>
  <c r="F238" i="1"/>
  <c r="C208" i="1"/>
  <c r="D208" i="1"/>
  <c r="E208" i="1"/>
  <c r="F208" i="1"/>
  <c r="C212" i="1"/>
  <c r="D212" i="1"/>
  <c r="E212" i="1"/>
  <c r="F212" i="1"/>
  <c r="C430" i="1"/>
  <c r="D430" i="1"/>
  <c r="E430" i="1"/>
  <c r="F430" i="1"/>
  <c r="C84" i="1"/>
  <c r="D84" i="1"/>
  <c r="E84" i="1"/>
  <c r="F84" i="1"/>
  <c r="C132" i="1"/>
  <c r="D132" i="1"/>
  <c r="E132" i="1"/>
  <c r="F132" i="1"/>
  <c r="C285" i="1"/>
  <c r="D285" i="1"/>
  <c r="E285" i="1"/>
  <c r="F285" i="1"/>
  <c r="C45" i="1"/>
  <c r="D45" i="1"/>
  <c r="E45" i="1"/>
  <c r="F45" i="1"/>
  <c r="C105" i="1"/>
  <c r="D105" i="1"/>
  <c r="E105" i="1"/>
  <c r="F105" i="1"/>
  <c r="C330" i="1"/>
  <c r="D330" i="1"/>
  <c r="E330" i="1"/>
  <c r="F330" i="1"/>
  <c r="C106" i="1"/>
  <c r="D106" i="1"/>
  <c r="E106" i="1"/>
  <c r="F106" i="1"/>
  <c r="C266" i="1"/>
  <c r="D266" i="1"/>
  <c r="E266" i="1"/>
  <c r="F266" i="1"/>
  <c r="C65" i="1"/>
  <c r="D65" i="1"/>
  <c r="E65" i="1"/>
  <c r="F65" i="1"/>
  <c r="C98" i="1"/>
  <c r="D98" i="1"/>
  <c r="E98" i="1"/>
  <c r="F98" i="1"/>
  <c r="C72" i="1"/>
  <c r="D72" i="1"/>
  <c r="E72" i="1"/>
  <c r="F72" i="1"/>
  <c r="C100" i="1"/>
  <c r="D100" i="1"/>
  <c r="E100" i="1"/>
  <c r="F100" i="1"/>
  <c r="C86" i="1"/>
  <c r="D86" i="1"/>
  <c r="E86" i="1"/>
  <c r="F86" i="1"/>
  <c r="C195" i="1"/>
  <c r="D195" i="1"/>
  <c r="E195" i="1"/>
  <c r="F195" i="1"/>
  <c r="C41" i="1"/>
  <c r="D41" i="1"/>
  <c r="E41" i="1"/>
  <c r="F41" i="1"/>
  <c r="C51" i="1"/>
  <c r="D51" i="1"/>
  <c r="E51" i="1"/>
  <c r="F51" i="1"/>
  <c r="C179" i="1"/>
  <c r="D179" i="1"/>
  <c r="E179" i="1"/>
  <c r="F179" i="1"/>
  <c r="C73" i="1"/>
  <c r="D73" i="1"/>
  <c r="E73" i="1"/>
  <c r="F73" i="1"/>
  <c r="C237" i="1"/>
  <c r="D237" i="1"/>
  <c r="E237" i="1"/>
  <c r="F237" i="1"/>
  <c r="C83" i="1"/>
  <c r="D83" i="1"/>
  <c r="E83" i="1"/>
  <c r="F83" i="1"/>
  <c r="C258" i="1"/>
  <c r="D258" i="1"/>
  <c r="E258" i="1"/>
  <c r="F258" i="1"/>
  <c r="C53" i="1"/>
  <c r="D53" i="1"/>
  <c r="E53" i="1"/>
  <c r="F53" i="1"/>
  <c r="C21" i="1"/>
  <c r="D21" i="1"/>
  <c r="E21" i="1"/>
  <c r="F21" i="1"/>
  <c r="C461" i="1"/>
  <c r="D461" i="1"/>
  <c r="E461" i="1"/>
  <c r="F461" i="1"/>
  <c r="C34" i="1"/>
  <c r="D34" i="1"/>
  <c r="E34" i="1"/>
  <c r="F34" i="1"/>
  <c r="C47" i="1"/>
  <c r="D47" i="1"/>
  <c r="E47" i="1"/>
  <c r="F47" i="1"/>
  <c r="C35" i="1"/>
  <c r="D35" i="1"/>
  <c r="E35" i="1"/>
  <c r="F35" i="1"/>
  <c r="C50" i="1"/>
  <c r="D50" i="1"/>
  <c r="E50" i="1"/>
  <c r="F50" i="1"/>
  <c r="C368" i="1"/>
  <c r="D368" i="1"/>
  <c r="E368" i="1"/>
  <c r="F368" i="1"/>
  <c r="C101" i="1"/>
  <c r="D101" i="1"/>
  <c r="E101" i="1"/>
  <c r="F101" i="1"/>
  <c r="C20" i="1"/>
  <c r="D20" i="1"/>
  <c r="E20" i="1"/>
  <c r="F20" i="1"/>
  <c r="C392" i="1"/>
  <c r="D392" i="1"/>
  <c r="E392" i="1"/>
  <c r="F392" i="1"/>
  <c r="C182" i="1"/>
  <c r="D182" i="1"/>
  <c r="E182" i="1"/>
  <c r="F182" i="1"/>
  <c r="C27" i="1"/>
  <c r="D27" i="1"/>
  <c r="E27" i="1"/>
  <c r="F27" i="1"/>
  <c r="C28" i="1"/>
  <c r="D28" i="1"/>
  <c r="E28" i="1"/>
  <c r="F28" i="1"/>
  <c r="C284" i="1"/>
  <c r="D284" i="1"/>
  <c r="E284" i="1"/>
  <c r="F284" i="1"/>
  <c r="C130" i="1"/>
  <c r="D130" i="1"/>
  <c r="E130" i="1"/>
  <c r="F130" i="1"/>
  <c r="C76" i="1"/>
  <c r="D76" i="1"/>
  <c r="E76" i="1"/>
  <c r="F76" i="1"/>
  <c r="C301" i="1"/>
  <c r="D301" i="1"/>
  <c r="E301" i="1"/>
  <c r="F301" i="1"/>
  <c r="C471" i="1"/>
  <c r="D471" i="1"/>
  <c r="E471" i="1"/>
  <c r="F471" i="1"/>
  <c r="C58" i="1"/>
  <c r="D58" i="1"/>
  <c r="E58" i="1"/>
  <c r="F58" i="1"/>
  <c r="C673" i="1"/>
  <c r="D673" i="1"/>
  <c r="E673" i="1"/>
  <c r="F673" i="1"/>
  <c r="C1509" i="1"/>
  <c r="D1509" i="1"/>
  <c r="E1509" i="1"/>
  <c r="F1509" i="1"/>
  <c r="C877" i="1"/>
  <c r="D877" i="1"/>
  <c r="E877" i="1"/>
  <c r="F877" i="1"/>
  <c r="C1219" i="1"/>
  <c r="D1219" i="1"/>
  <c r="E1219" i="1"/>
  <c r="F1219" i="1"/>
  <c r="C933" i="1"/>
  <c r="D933" i="1"/>
  <c r="E933" i="1"/>
  <c r="F933" i="1"/>
  <c r="C1568" i="1"/>
  <c r="D1568" i="1"/>
  <c r="E1568" i="1"/>
  <c r="F1568" i="1"/>
  <c r="C1885" i="1"/>
  <c r="D1885" i="1"/>
  <c r="E1885" i="1"/>
  <c r="F1885" i="1"/>
  <c r="C1255" i="1"/>
  <c r="D1255" i="1"/>
  <c r="E1255" i="1"/>
  <c r="F1255" i="1"/>
  <c r="C1973" i="1"/>
  <c r="D1973" i="1"/>
  <c r="E1973" i="1"/>
  <c r="F1973" i="1"/>
  <c r="C1888" i="1"/>
  <c r="D1888" i="1"/>
  <c r="E1888" i="1"/>
  <c r="F1888" i="1"/>
  <c r="C1070" i="1"/>
  <c r="D1070" i="1"/>
  <c r="E1070" i="1"/>
  <c r="F1070" i="1"/>
  <c r="C1952" i="1"/>
  <c r="D1952" i="1"/>
  <c r="E1952" i="1"/>
  <c r="F1952" i="1"/>
  <c r="C1385" i="1"/>
  <c r="D1385" i="1"/>
  <c r="E1385" i="1"/>
  <c r="F1385" i="1"/>
  <c r="C1802" i="1"/>
  <c r="D1802" i="1"/>
  <c r="E1802" i="1"/>
  <c r="F1802" i="1"/>
  <c r="C717" i="1"/>
  <c r="D717" i="1"/>
  <c r="E717" i="1"/>
  <c r="F717" i="1"/>
  <c r="C2127" i="1"/>
  <c r="D2127" i="1"/>
  <c r="E2127" i="1"/>
  <c r="F2127" i="1"/>
  <c r="C2041" i="1"/>
  <c r="D2041" i="1"/>
  <c r="E2041" i="1"/>
  <c r="F2041" i="1"/>
  <c r="C2021" i="1"/>
  <c r="D2021" i="1"/>
  <c r="E2021" i="1"/>
  <c r="F2021" i="1"/>
  <c r="C879" i="1"/>
  <c r="D879" i="1"/>
  <c r="E879" i="1"/>
  <c r="F879" i="1"/>
  <c r="C245" i="1"/>
  <c r="D245" i="1"/>
  <c r="E245" i="1"/>
  <c r="F245" i="1"/>
  <c r="C2034" i="1"/>
  <c r="D2034" i="1"/>
  <c r="E2034" i="1"/>
  <c r="F2034" i="1"/>
  <c r="C1685" i="1"/>
  <c r="D1685" i="1"/>
  <c r="E1685" i="1"/>
  <c r="F1685" i="1"/>
  <c r="C1148" i="1"/>
  <c r="D1148" i="1"/>
  <c r="E1148" i="1"/>
  <c r="F1148" i="1"/>
  <c r="C378" i="1"/>
  <c r="D378" i="1"/>
  <c r="E378" i="1"/>
  <c r="F378" i="1"/>
  <c r="C670" i="1"/>
  <c r="D670" i="1"/>
  <c r="E670" i="1"/>
  <c r="F670" i="1"/>
  <c r="C423" i="1"/>
  <c r="D423" i="1"/>
  <c r="E423" i="1"/>
  <c r="F423" i="1"/>
  <c r="C174" i="1"/>
  <c r="D174" i="1"/>
  <c r="E174" i="1"/>
  <c r="F174" i="1"/>
  <c r="C825" i="1"/>
  <c r="D825" i="1"/>
  <c r="E825" i="1"/>
  <c r="F825" i="1"/>
  <c r="C420" i="1"/>
  <c r="D420" i="1"/>
  <c r="E420" i="1"/>
  <c r="F420" i="1"/>
  <c r="C1861" i="1"/>
  <c r="D1861" i="1"/>
  <c r="E1861" i="1"/>
  <c r="F1861" i="1"/>
  <c r="C315" i="1"/>
  <c r="D315" i="1"/>
  <c r="E315" i="1"/>
  <c r="F315" i="1"/>
  <c r="C1948" i="1"/>
  <c r="D1948" i="1"/>
  <c r="E1948" i="1"/>
  <c r="F1948" i="1"/>
  <c r="C1949" i="1"/>
  <c r="D1949" i="1"/>
  <c r="E1949" i="1"/>
  <c r="F1949" i="1"/>
  <c r="C2055" i="1"/>
  <c r="D2055" i="1"/>
  <c r="E2055" i="1"/>
  <c r="F2055" i="1"/>
  <c r="C1981" i="1"/>
  <c r="D1981" i="1"/>
  <c r="E1981" i="1"/>
  <c r="F1981" i="1"/>
  <c r="C1572" i="1"/>
  <c r="D1572" i="1"/>
  <c r="E1572" i="1"/>
  <c r="F1572" i="1"/>
  <c r="C1933" i="1"/>
  <c r="D1933" i="1"/>
  <c r="E1933" i="1"/>
  <c r="F1933" i="1"/>
  <c r="C678" i="1"/>
  <c r="D678" i="1"/>
  <c r="E678" i="1"/>
  <c r="F678" i="1"/>
  <c r="C1334" i="1"/>
  <c r="D1334" i="1"/>
  <c r="E1334" i="1"/>
  <c r="F1334" i="1"/>
  <c r="C1429" i="1"/>
  <c r="D1429" i="1"/>
  <c r="E1429" i="1"/>
  <c r="F1429" i="1"/>
  <c r="C1181" i="1"/>
  <c r="D1181" i="1"/>
  <c r="E1181" i="1"/>
  <c r="F1181" i="1"/>
  <c r="C547" i="1"/>
  <c r="D547" i="1"/>
  <c r="E547" i="1"/>
  <c r="F547" i="1"/>
  <c r="C375" i="1"/>
  <c r="D375" i="1"/>
  <c r="E375" i="1"/>
  <c r="F375" i="1"/>
  <c r="C764" i="1"/>
  <c r="D764" i="1"/>
  <c r="E764" i="1"/>
  <c r="F764" i="1"/>
  <c r="C983" i="1"/>
  <c r="D983" i="1"/>
  <c r="E983" i="1"/>
  <c r="F983" i="1"/>
  <c r="C1850" i="1"/>
  <c r="D1850" i="1"/>
  <c r="E1850" i="1"/>
  <c r="F1850" i="1"/>
  <c r="C477" i="1"/>
  <c r="D477" i="1"/>
  <c r="E477" i="1"/>
  <c r="F477" i="1"/>
  <c r="C773" i="1"/>
  <c r="D773" i="1"/>
  <c r="E773" i="1"/>
  <c r="F773" i="1"/>
  <c r="C566" i="1"/>
  <c r="D566" i="1"/>
  <c r="E566" i="1"/>
  <c r="F566" i="1"/>
  <c r="C567" i="1"/>
  <c r="D567" i="1"/>
  <c r="E567" i="1"/>
  <c r="F567" i="1"/>
  <c r="C568" i="1"/>
  <c r="D568" i="1"/>
  <c r="E568" i="1"/>
  <c r="F568" i="1"/>
  <c r="C1178" i="1"/>
  <c r="D1178" i="1"/>
  <c r="E1178" i="1"/>
  <c r="F1178" i="1"/>
  <c r="C1265" i="1"/>
  <c r="D1265" i="1"/>
  <c r="E1265" i="1"/>
  <c r="F1265" i="1"/>
  <c r="C1322" i="1"/>
  <c r="D1322" i="1"/>
  <c r="E1322" i="1"/>
  <c r="F1322" i="1"/>
  <c r="C1770" i="1"/>
  <c r="D1770" i="1"/>
  <c r="E1770" i="1"/>
  <c r="F1770" i="1"/>
  <c r="C885" i="1"/>
  <c r="D885" i="1"/>
  <c r="E885" i="1"/>
  <c r="F885" i="1"/>
  <c r="C720" i="1"/>
  <c r="D720" i="1"/>
  <c r="E720" i="1"/>
  <c r="F720" i="1"/>
  <c r="C736" i="1"/>
  <c r="D736" i="1"/>
  <c r="E736" i="1"/>
  <c r="F736" i="1"/>
  <c r="C953" i="1"/>
  <c r="D953" i="1"/>
  <c r="E953" i="1"/>
  <c r="F953" i="1"/>
  <c r="C1216" i="1"/>
  <c r="D1216" i="1"/>
  <c r="E1216" i="1"/>
  <c r="F1216" i="1"/>
  <c r="C807" i="1"/>
  <c r="D807" i="1"/>
  <c r="E807" i="1"/>
  <c r="F807" i="1"/>
  <c r="C1804" i="1"/>
  <c r="D1804" i="1"/>
  <c r="E1804" i="1"/>
  <c r="F1804" i="1"/>
  <c r="C1348" i="1"/>
  <c r="D1348" i="1"/>
  <c r="E1348" i="1"/>
  <c r="F1348" i="1"/>
  <c r="C1007" i="1"/>
  <c r="D1007" i="1"/>
  <c r="E1007" i="1"/>
  <c r="F1007" i="1"/>
  <c r="C1355" i="1"/>
  <c r="D1355" i="1"/>
  <c r="E1355" i="1"/>
  <c r="F1355" i="1"/>
  <c r="C1387" i="1"/>
  <c r="D1387" i="1"/>
  <c r="E1387" i="1"/>
  <c r="F1387" i="1"/>
  <c r="C1781" i="1"/>
  <c r="D1781" i="1"/>
  <c r="E1781" i="1"/>
  <c r="F1781" i="1"/>
  <c r="C1439" i="1"/>
  <c r="D1439" i="1"/>
  <c r="E1439" i="1"/>
  <c r="F1439" i="1"/>
  <c r="C1599" i="1"/>
  <c r="D1599" i="1"/>
  <c r="E1599" i="1"/>
  <c r="F1599" i="1"/>
  <c r="C1646" i="1"/>
  <c r="D1646" i="1"/>
  <c r="E1646" i="1"/>
  <c r="F1646" i="1"/>
  <c r="C405" i="1"/>
  <c r="D405" i="1"/>
  <c r="E405" i="1"/>
  <c r="F405" i="1"/>
  <c r="C240" i="1"/>
  <c r="D240" i="1"/>
  <c r="E240" i="1"/>
  <c r="F240" i="1"/>
  <c r="C1361" i="1"/>
  <c r="D1361" i="1"/>
  <c r="E1361" i="1"/>
  <c r="F1361" i="1"/>
  <c r="C1620" i="1"/>
  <c r="D1620" i="1"/>
  <c r="E1620" i="1"/>
  <c r="F1620" i="1"/>
  <c r="C1553" i="1"/>
  <c r="D1553" i="1"/>
  <c r="E1553" i="1"/>
  <c r="F1553" i="1"/>
  <c r="C1607" i="1"/>
  <c r="D1607" i="1"/>
  <c r="E1607" i="1"/>
  <c r="F1607" i="1"/>
  <c r="C1468" i="1"/>
  <c r="D1468" i="1"/>
  <c r="E1468" i="1"/>
  <c r="F1468" i="1"/>
  <c r="C1587" i="1"/>
  <c r="D1587" i="1"/>
  <c r="E1587" i="1"/>
  <c r="F1587" i="1"/>
  <c r="C1519" i="1"/>
  <c r="D1519" i="1"/>
  <c r="E1519" i="1"/>
  <c r="F1519" i="1"/>
  <c r="C2038" i="1"/>
  <c r="D2038" i="1"/>
  <c r="E2038" i="1"/>
  <c r="F2038" i="1"/>
  <c r="C1903" i="1"/>
  <c r="D1903" i="1"/>
  <c r="E1903" i="1"/>
  <c r="F1903" i="1"/>
  <c r="C1619" i="1"/>
  <c r="D1619" i="1"/>
  <c r="E1619" i="1"/>
  <c r="F1619" i="1"/>
  <c r="C558" i="1"/>
  <c r="D558" i="1"/>
  <c r="E558" i="1"/>
  <c r="F558" i="1"/>
  <c r="C1437" i="1"/>
  <c r="D1437" i="1"/>
  <c r="E1437" i="1"/>
  <c r="F1437" i="1"/>
  <c r="C709" i="1"/>
  <c r="D709" i="1"/>
  <c r="E709" i="1"/>
  <c r="F709" i="1"/>
  <c r="C1481" i="1"/>
  <c r="D1481" i="1"/>
  <c r="E1481" i="1"/>
  <c r="F1481" i="1"/>
  <c r="C1272" i="1"/>
  <c r="D1272" i="1"/>
  <c r="E1272" i="1"/>
  <c r="F1272" i="1"/>
  <c r="C1430" i="1"/>
  <c r="D1430" i="1"/>
  <c r="E1430" i="1"/>
  <c r="F1430" i="1"/>
  <c r="C413" i="1"/>
  <c r="D413" i="1"/>
  <c r="E413" i="1"/>
  <c r="F413" i="1"/>
  <c r="C1925" i="1"/>
  <c r="D1925" i="1"/>
  <c r="E1925" i="1"/>
  <c r="F1925" i="1"/>
  <c r="C1117" i="1"/>
  <c r="D1117" i="1"/>
  <c r="E1117" i="1"/>
  <c r="F1117" i="1"/>
  <c r="C1017" i="1"/>
  <c r="D1017" i="1"/>
  <c r="E1017" i="1"/>
  <c r="F1017" i="1"/>
  <c r="C806" i="1"/>
  <c r="D806" i="1"/>
  <c r="E806" i="1"/>
  <c r="F806" i="1"/>
  <c r="C1886" i="1"/>
  <c r="D1886" i="1"/>
  <c r="E1886" i="1"/>
  <c r="F1886" i="1"/>
  <c r="C1942" i="1"/>
  <c r="D1942" i="1"/>
  <c r="E1942" i="1"/>
  <c r="F1942" i="1"/>
  <c r="C1967" i="1"/>
  <c r="D1967" i="1"/>
  <c r="E1967" i="1"/>
  <c r="F1967" i="1"/>
  <c r="C1898" i="1"/>
  <c r="D1898" i="1"/>
  <c r="E1898" i="1"/>
  <c r="F1898" i="1"/>
  <c r="C486" i="1"/>
  <c r="D486" i="1"/>
  <c r="E486" i="1"/>
  <c r="F486" i="1"/>
  <c r="C1934" i="1"/>
  <c r="D1934" i="1"/>
  <c r="E1934" i="1"/>
  <c r="F1934" i="1"/>
  <c r="C1968" i="1"/>
  <c r="D1968" i="1"/>
  <c r="E1968" i="1"/>
  <c r="F1968" i="1"/>
  <c r="C2319" i="1"/>
  <c r="D2319" i="1"/>
  <c r="E2319" i="1"/>
  <c r="F2319" i="1"/>
  <c r="C827" i="1"/>
  <c r="D827" i="1"/>
  <c r="E827" i="1"/>
  <c r="F827" i="1"/>
  <c r="C2202" i="1"/>
  <c r="D2202" i="1"/>
  <c r="E2202" i="1"/>
  <c r="F2202" i="1"/>
  <c r="C627" i="1"/>
  <c r="D627" i="1"/>
  <c r="E627" i="1"/>
  <c r="F627" i="1"/>
  <c r="C1193" i="1"/>
  <c r="D1193" i="1"/>
  <c r="E1193" i="1"/>
  <c r="F1193" i="1"/>
  <c r="C1161" i="1"/>
  <c r="D1161" i="1"/>
  <c r="E1161" i="1"/>
  <c r="F1161" i="1"/>
  <c r="C1649" i="1"/>
  <c r="D1649" i="1"/>
  <c r="E1649" i="1"/>
  <c r="F1649" i="1"/>
  <c r="C998" i="1"/>
  <c r="D998" i="1"/>
  <c r="E998" i="1"/>
  <c r="F998" i="1"/>
  <c r="C322" i="1"/>
  <c r="D322" i="1"/>
  <c r="E322" i="1"/>
  <c r="F322" i="1"/>
  <c r="C476" i="1"/>
  <c r="D476" i="1"/>
  <c r="E476" i="1"/>
  <c r="F476" i="1"/>
  <c r="C730" i="1"/>
  <c r="D730" i="1"/>
  <c r="E730" i="1"/>
  <c r="F730" i="1"/>
  <c r="C1079" i="1"/>
  <c r="D1079" i="1"/>
  <c r="E1079" i="1"/>
  <c r="F1079" i="1"/>
  <c r="C848" i="1"/>
  <c r="D848" i="1"/>
  <c r="E848" i="1"/>
  <c r="F848" i="1"/>
  <c r="C1700" i="1"/>
  <c r="D1700" i="1"/>
  <c r="E1700" i="1"/>
  <c r="F1700" i="1"/>
  <c r="C1116" i="1"/>
  <c r="D1116" i="1"/>
  <c r="E1116" i="1"/>
  <c r="F1116" i="1"/>
  <c r="C1147" i="1"/>
  <c r="D1147" i="1"/>
  <c r="E1147" i="1"/>
  <c r="F1147" i="1"/>
  <c r="C1374" i="1"/>
  <c r="D1374" i="1"/>
  <c r="E1374" i="1"/>
  <c r="F1374" i="1"/>
  <c r="C1912" i="1"/>
  <c r="D1912" i="1"/>
  <c r="E1912" i="1"/>
  <c r="F1912" i="1"/>
  <c r="C1160" i="1"/>
  <c r="D1160" i="1"/>
  <c r="E1160" i="1"/>
  <c r="F1160" i="1"/>
  <c r="C1232" i="1"/>
  <c r="D1232" i="1"/>
  <c r="E1232" i="1"/>
  <c r="F1232" i="1"/>
  <c r="C1478" i="1"/>
  <c r="D1478" i="1"/>
  <c r="E1478" i="1"/>
  <c r="F1478" i="1"/>
  <c r="C1427" i="1"/>
  <c r="D1427" i="1"/>
  <c r="E1427" i="1"/>
  <c r="F1427" i="1"/>
  <c r="C1290" i="1"/>
  <c r="D1290" i="1"/>
  <c r="E1290" i="1"/>
  <c r="F1290" i="1"/>
  <c r="C1408" i="1"/>
  <c r="D1408" i="1"/>
  <c r="E1408" i="1"/>
  <c r="F1408" i="1"/>
  <c r="C310" i="1"/>
  <c r="D310" i="1"/>
  <c r="E310" i="1"/>
  <c r="F310" i="1"/>
  <c r="C2095" i="1"/>
  <c r="D2095" i="1"/>
  <c r="E2095" i="1"/>
  <c r="F2095" i="1"/>
  <c r="C1917" i="1"/>
  <c r="D1917" i="1"/>
  <c r="C2014" i="1"/>
  <c r="D2014" i="1"/>
  <c r="E2014" i="1"/>
  <c r="F2014" i="1"/>
  <c r="C955" i="1"/>
  <c r="D955" i="1"/>
  <c r="E955" i="1"/>
  <c r="F955" i="1"/>
  <c r="C1477" i="1"/>
  <c r="D1477" i="1"/>
  <c r="E1477" i="1"/>
  <c r="F1477" i="1"/>
  <c r="C1231" i="1"/>
  <c r="D1231" i="1"/>
  <c r="E1231" i="1"/>
  <c r="F1231" i="1"/>
  <c r="C465" i="1"/>
  <c r="D465" i="1"/>
  <c r="E465" i="1"/>
  <c r="F465" i="1"/>
  <c r="C460" i="1"/>
  <c r="D460" i="1"/>
  <c r="E460" i="1"/>
  <c r="F460" i="1"/>
  <c r="C482" i="1"/>
  <c r="D482" i="1"/>
  <c r="E482" i="1"/>
  <c r="F482" i="1"/>
  <c r="C2062" i="1"/>
  <c r="D2062" i="1"/>
  <c r="E2062" i="1"/>
  <c r="F2062" i="1"/>
  <c r="C2108" i="1"/>
  <c r="D2108" i="1"/>
  <c r="E2108" i="1"/>
  <c r="F2108" i="1"/>
  <c r="C186" i="1"/>
  <c r="D186" i="1"/>
  <c r="E186" i="1"/>
  <c r="F186" i="1"/>
  <c r="C798" i="1"/>
  <c r="D798" i="1"/>
  <c r="E798" i="1"/>
  <c r="F798" i="1"/>
  <c r="C1794" i="1"/>
  <c r="D1794" i="1"/>
  <c r="E1794" i="1"/>
  <c r="F1794" i="1"/>
  <c r="C1474" i="1"/>
  <c r="D1474" i="1"/>
  <c r="E1474" i="1"/>
  <c r="F1474" i="1"/>
  <c r="C684" i="1"/>
  <c r="D684" i="1"/>
  <c r="E684" i="1"/>
  <c r="F684" i="1"/>
  <c r="C1345" i="1"/>
  <c r="D1345" i="1"/>
  <c r="E1345" i="1"/>
  <c r="F1345" i="1"/>
  <c r="C1397" i="1"/>
  <c r="D1397" i="1"/>
  <c r="E1397" i="1"/>
  <c r="F1397" i="1"/>
  <c r="C1485" i="1"/>
  <c r="D1485" i="1"/>
  <c r="E1485" i="1"/>
  <c r="F1485" i="1"/>
  <c r="C1229" i="1"/>
  <c r="D1229" i="1"/>
  <c r="E1229" i="1"/>
  <c r="F1229" i="1"/>
  <c r="C1628" i="1"/>
  <c r="D1628" i="1"/>
  <c r="E1628" i="1"/>
  <c r="F1628" i="1"/>
  <c r="C2170" i="1"/>
  <c r="D2170" i="1"/>
  <c r="E2170" i="1"/>
  <c r="F2170" i="1"/>
  <c r="C1779" i="1"/>
  <c r="D1779" i="1"/>
  <c r="E1779" i="1"/>
  <c r="F1779" i="1"/>
  <c r="C2196" i="1"/>
  <c r="D2196" i="1"/>
  <c r="E2196" i="1"/>
  <c r="F2196" i="1"/>
  <c r="C2247" i="1"/>
  <c r="D2247" i="1"/>
  <c r="E2247" i="1"/>
  <c r="F2247" i="1"/>
  <c r="C2253" i="1"/>
  <c r="D2253" i="1"/>
  <c r="E2253" i="1"/>
  <c r="F2253" i="1"/>
  <c r="C982" i="1"/>
  <c r="D982" i="1"/>
  <c r="E982" i="1"/>
  <c r="F982" i="1"/>
  <c r="C835" i="1"/>
  <c r="D835" i="1"/>
  <c r="E835" i="1"/>
  <c r="F835" i="1"/>
  <c r="C557" i="1"/>
  <c r="D557" i="1"/>
  <c r="E557" i="1"/>
  <c r="F557" i="1"/>
  <c r="C300" i="1"/>
  <c r="D300" i="1"/>
  <c r="E300" i="1"/>
  <c r="F300" i="1"/>
  <c r="C1730" i="1"/>
  <c r="D1730" i="1"/>
  <c r="E1730" i="1"/>
  <c r="F1730" i="1"/>
  <c r="C1243" i="1"/>
  <c r="D1243" i="1"/>
  <c r="E1243" i="1"/>
  <c r="F1243" i="1"/>
  <c r="C1479" i="1"/>
  <c r="D1479" i="1"/>
  <c r="E1479" i="1"/>
  <c r="F1479" i="1"/>
  <c r="C1951" i="1"/>
  <c r="D1951" i="1"/>
  <c r="E1951" i="1"/>
  <c r="F1951" i="1"/>
  <c r="C2152" i="1"/>
  <c r="D2152" i="1"/>
  <c r="E2152" i="1"/>
  <c r="F2152" i="1"/>
  <c r="C2173" i="1"/>
  <c r="D2173" i="1"/>
  <c r="E2173" i="1"/>
  <c r="F2173" i="1"/>
  <c r="C1999" i="1"/>
  <c r="D1999" i="1"/>
  <c r="E1999" i="1"/>
  <c r="F1999" i="1"/>
  <c r="C2103" i="1"/>
  <c r="D2103" i="1"/>
  <c r="E2103" i="1"/>
  <c r="F2103" i="1"/>
  <c r="C2187" i="1"/>
  <c r="D2187" i="1"/>
  <c r="E2187" i="1"/>
  <c r="F2187" i="1"/>
  <c r="C2197" i="1"/>
  <c r="D2197" i="1"/>
  <c r="E2197" i="1"/>
  <c r="F2197" i="1"/>
  <c r="C2302" i="1"/>
  <c r="D2302" i="1"/>
  <c r="E2302" i="1"/>
  <c r="F2302" i="1"/>
  <c r="C2053" i="1"/>
  <c r="D2053" i="1"/>
  <c r="E2053" i="1"/>
  <c r="F2053" i="1"/>
  <c r="C2251" i="1"/>
  <c r="D2251" i="1"/>
  <c r="E2251" i="1"/>
  <c r="F2251" i="1"/>
  <c r="C2238" i="1"/>
  <c r="D2238" i="1"/>
  <c r="E2238" i="1"/>
  <c r="F2238" i="1"/>
  <c r="C1943" i="1"/>
  <c r="D1943" i="1"/>
  <c r="E1943" i="1"/>
  <c r="F1943" i="1"/>
  <c r="C2179" i="1"/>
  <c r="D2179" i="1"/>
  <c r="E2179" i="1"/>
  <c r="F2179" i="1"/>
  <c r="C2146" i="1"/>
  <c r="D2146" i="1"/>
  <c r="E2146" i="1"/>
  <c r="F2146" i="1"/>
  <c r="C2030" i="1"/>
  <c r="D2030" i="1"/>
  <c r="E2030" i="1"/>
  <c r="F2030" i="1"/>
  <c r="C2243" i="1"/>
  <c r="D2243" i="1"/>
  <c r="E2243" i="1"/>
  <c r="F2243" i="1"/>
  <c r="C2282" i="1"/>
  <c r="D2282" i="1"/>
  <c r="E2282" i="1"/>
  <c r="F2282" i="1"/>
  <c r="C1976" i="1"/>
  <c r="D1976" i="1"/>
  <c r="E1976" i="1"/>
  <c r="F1976" i="1"/>
  <c r="C1996" i="1"/>
  <c r="D1996" i="1"/>
  <c r="E1996" i="1"/>
  <c r="F1996" i="1"/>
  <c r="C1937" i="1"/>
  <c r="D1937" i="1"/>
  <c r="E1937" i="1"/>
  <c r="F1937" i="1"/>
  <c r="C2043" i="1"/>
  <c r="D2043" i="1"/>
  <c r="E2043" i="1"/>
  <c r="F2043" i="1"/>
  <c r="C1739" i="1"/>
  <c r="D1739" i="1"/>
  <c r="E1739" i="1"/>
  <c r="F1739" i="1"/>
  <c r="C1829" i="1"/>
  <c r="D1829" i="1"/>
  <c r="E1829" i="1"/>
  <c r="F1829" i="1"/>
  <c r="C2052" i="1"/>
  <c r="D2052" i="1"/>
  <c r="E2052" i="1"/>
  <c r="F2052" i="1"/>
  <c r="C1492" i="1"/>
  <c r="D1492" i="1"/>
  <c r="E1492" i="1"/>
  <c r="F1492" i="1"/>
  <c r="C1055" i="1"/>
  <c r="D1055" i="1"/>
  <c r="E1055" i="1"/>
  <c r="F1055" i="1"/>
  <c r="C1673" i="1"/>
  <c r="D1673" i="1"/>
  <c r="E1673" i="1"/>
  <c r="F1673" i="1"/>
  <c r="C1647" i="1"/>
  <c r="D1647" i="1"/>
  <c r="E1647" i="1"/>
  <c r="F1647" i="1"/>
  <c r="C1759" i="1"/>
  <c r="D1759" i="1"/>
  <c r="E1759" i="1"/>
  <c r="F1759" i="1"/>
  <c r="C1703" i="1"/>
  <c r="D1703" i="1"/>
  <c r="E1703" i="1"/>
  <c r="F1703" i="1"/>
  <c r="C2169" i="1"/>
  <c r="D2169" i="1"/>
  <c r="E2169" i="1"/>
  <c r="F2169" i="1"/>
  <c r="C2240" i="1"/>
  <c r="D2240" i="1"/>
  <c r="E2240" i="1"/>
  <c r="F2240" i="1"/>
  <c r="C1754" i="1"/>
  <c r="D1754" i="1"/>
  <c r="E1754" i="1"/>
  <c r="F1754" i="1"/>
  <c r="C1495" i="1"/>
  <c r="D1495" i="1"/>
  <c r="E1495" i="1"/>
  <c r="F1495" i="1"/>
  <c r="C2029" i="1"/>
  <c r="D2029" i="1"/>
  <c r="E2029" i="1"/>
  <c r="F2029" i="1"/>
  <c r="C2301" i="1"/>
  <c r="D2301" i="1"/>
  <c r="E2301" i="1"/>
  <c r="F2301" i="1"/>
  <c r="C978" i="1"/>
  <c r="D978" i="1"/>
  <c r="E978" i="1"/>
  <c r="F978" i="1"/>
  <c r="C1657" i="1"/>
  <c r="D1657" i="1"/>
  <c r="E1657" i="1"/>
  <c r="F1657" i="1"/>
  <c r="C1602" i="1"/>
  <c r="D1602" i="1"/>
  <c r="E1602" i="1"/>
  <c r="F1602" i="1"/>
  <c r="C1451" i="1"/>
  <c r="D1451" i="1"/>
  <c r="E1451" i="1"/>
  <c r="F1451" i="1"/>
  <c r="C1242" i="1"/>
  <c r="D1242" i="1"/>
  <c r="E1242" i="1"/>
  <c r="F1242" i="1"/>
  <c r="C1198" i="1"/>
  <c r="D1198" i="1"/>
  <c r="E1198" i="1"/>
  <c r="F1198" i="1"/>
  <c r="C1666" i="1"/>
  <c r="D1666" i="1"/>
  <c r="E1666" i="1"/>
  <c r="F1666" i="1"/>
  <c r="C729" i="1"/>
  <c r="D729" i="1"/>
  <c r="E729" i="1"/>
  <c r="F729" i="1"/>
  <c r="C799" i="1"/>
  <c r="D799" i="1"/>
  <c r="E799" i="1"/>
  <c r="F799" i="1"/>
  <c r="C2199" i="1"/>
  <c r="D2199" i="1"/>
  <c r="E2199" i="1"/>
  <c r="F2199" i="1"/>
  <c r="C2074" i="1"/>
  <c r="D2074" i="1"/>
  <c r="E2074" i="1"/>
  <c r="F2074" i="1"/>
  <c r="C2048" i="1"/>
  <c r="D2048" i="1"/>
  <c r="E2048" i="1"/>
  <c r="F2048" i="1"/>
  <c r="C1868" i="1"/>
  <c r="D1868" i="1"/>
  <c r="E1868" i="1"/>
  <c r="F1868" i="1"/>
  <c r="C1191" i="1"/>
  <c r="D1191" i="1"/>
  <c r="E1191" i="1"/>
  <c r="F1191" i="1"/>
  <c r="C1393" i="1"/>
  <c r="D1393" i="1"/>
  <c r="E1393" i="1"/>
  <c r="F1393" i="1"/>
  <c r="C657" i="1"/>
  <c r="D657" i="1"/>
  <c r="E657" i="1"/>
  <c r="F657" i="1"/>
  <c r="C863" i="1"/>
  <c r="D863" i="1"/>
  <c r="E863" i="1"/>
  <c r="F863" i="1"/>
  <c r="C1168" i="1"/>
  <c r="D1168" i="1"/>
  <c r="E1168" i="1"/>
  <c r="F1168" i="1"/>
  <c r="C491" i="1"/>
  <c r="D491" i="1"/>
  <c r="E491" i="1"/>
  <c r="F491" i="1"/>
  <c r="C1363" i="1"/>
  <c r="D1363" i="1"/>
  <c r="E1363" i="1"/>
  <c r="F1363" i="1"/>
  <c r="C964" i="1"/>
  <c r="D964" i="1"/>
  <c r="E964" i="1"/>
  <c r="F964" i="1"/>
  <c r="C1486" i="1"/>
  <c r="D1486" i="1"/>
  <c r="E1486" i="1"/>
  <c r="F1486" i="1"/>
  <c r="C1578" i="1"/>
  <c r="D1578" i="1"/>
  <c r="E1578" i="1"/>
  <c r="F1578" i="1"/>
  <c r="C1501" i="1"/>
  <c r="D1501" i="1"/>
  <c r="E1501" i="1"/>
  <c r="F1501" i="1"/>
  <c r="C1916" i="1"/>
  <c r="D1916" i="1"/>
  <c r="E1916" i="1"/>
  <c r="F1916" i="1"/>
  <c r="C772" i="1"/>
  <c r="D772" i="1"/>
  <c r="E772" i="1"/>
  <c r="F772" i="1"/>
  <c r="C2101" i="1"/>
  <c r="D2101" i="1"/>
  <c r="E2101" i="1"/>
  <c r="F2101" i="1"/>
  <c r="C221" i="1"/>
  <c r="D221" i="1"/>
  <c r="E221" i="1"/>
  <c r="F221" i="1"/>
  <c r="C434" i="1"/>
  <c r="D434" i="1"/>
  <c r="E434" i="1"/>
  <c r="F434" i="1"/>
  <c r="C448" i="1"/>
  <c r="D448" i="1"/>
  <c r="E448" i="1"/>
  <c r="F448" i="1"/>
  <c r="C350" i="1"/>
  <c r="D350" i="1"/>
  <c r="E350" i="1"/>
  <c r="F350" i="1"/>
  <c r="C948" i="1"/>
  <c r="D948" i="1"/>
  <c r="E948" i="1"/>
  <c r="F948" i="1"/>
  <c r="C1128" i="1"/>
  <c r="D1128" i="1"/>
  <c r="E1128" i="1"/>
  <c r="F1128" i="1"/>
  <c r="C839" i="1"/>
  <c r="D839" i="1"/>
  <c r="E839" i="1"/>
  <c r="F839" i="1"/>
  <c r="C1238" i="1"/>
  <c r="D1238" i="1"/>
  <c r="E1238" i="1"/>
  <c r="F1238" i="1"/>
  <c r="C1731" i="1"/>
  <c r="D1731" i="1"/>
  <c r="E1731" i="1"/>
  <c r="F1731" i="1"/>
  <c r="C1156" i="1"/>
  <c r="D1156" i="1"/>
  <c r="E1156" i="1"/>
  <c r="F1156" i="1"/>
  <c r="C1260" i="1"/>
  <c r="D1260" i="1"/>
  <c r="E1260" i="1"/>
  <c r="F1260" i="1"/>
  <c r="C1552" i="1"/>
  <c r="D1552" i="1"/>
  <c r="E1552" i="1"/>
  <c r="F1552" i="1"/>
  <c r="C1271" i="1"/>
  <c r="D1271" i="1"/>
  <c r="E1271" i="1"/>
  <c r="F1271" i="1"/>
  <c r="C711" i="1"/>
  <c r="D711" i="1"/>
  <c r="E711" i="1"/>
  <c r="F711" i="1"/>
  <c r="C283" i="1"/>
  <c r="D283" i="1"/>
  <c r="E283" i="1"/>
  <c r="F283" i="1"/>
  <c r="C155" i="1"/>
  <c r="D155" i="1"/>
  <c r="E155" i="1"/>
  <c r="F155" i="1"/>
  <c r="C446" i="1"/>
  <c r="D446" i="1"/>
  <c r="E446" i="1"/>
  <c r="F446" i="1"/>
  <c r="C1415" i="1"/>
  <c r="D1415" i="1"/>
  <c r="E1415" i="1"/>
  <c r="F1415" i="1"/>
  <c r="C1504" i="1"/>
  <c r="D1504" i="1"/>
  <c r="E1504" i="1"/>
  <c r="F1504" i="1"/>
  <c r="C485" i="1"/>
  <c r="D485" i="1"/>
  <c r="E485" i="1"/>
  <c r="F485" i="1"/>
  <c r="C534" i="1"/>
  <c r="D534" i="1"/>
  <c r="E534" i="1"/>
  <c r="F534" i="1"/>
  <c r="C1099" i="1"/>
  <c r="D1099" i="1"/>
  <c r="E1099" i="1"/>
  <c r="F1099" i="1"/>
  <c r="C358" i="1"/>
  <c r="D358" i="1"/>
  <c r="E358" i="1"/>
  <c r="F358" i="1"/>
  <c r="C660" i="1"/>
  <c r="D660" i="1"/>
  <c r="E660" i="1"/>
  <c r="F660" i="1"/>
  <c r="C278" i="1"/>
  <c r="D278" i="1"/>
  <c r="E278" i="1"/>
  <c r="F278" i="1"/>
  <c r="C571" i="1"/>
  <c r="D571" i="1"/>
  <c r="E571" i="1"/>
  <c r="F571" i="1"/>
  <c r="C668" i="1"/>
  <c r="D668" i="1"/>
  <c r="E668" i="1"/>
  <c r="F668" i="1"/>
  <c r="C1059" i="1"/>
  <c r="D1059" i="1"/>
  <c r="E1059" i="1"/>
  <c r="F1059" i="1"/>
  <c r="C1088" i="1"/>
  <c r="D1088" i="1"/>
  <c r="E1088" i="1"/>
  <c r="F1088" i="1"/>
  <c r="C151" i="1"/>
  <c r="D151" i="1"/>
  <c r="E151" i="1"/>
  <c r="F151" i="1"/>
  <c r="C393" i="1"/>
  <c r="D393" i="1"/>
  <c r="E393" i="1"/>
  <c r="F393" i="1"/>
  <c r="C916" i="1"/>
  <c r="D916" i="1"/>
  <c r="E916" i="1"/>
  <c r="F916" i="1"/>
  <c r="C120" i="1"/>
  <c r="D120" i="1"/>
  <c r="E120" i="1"/>
  <c r="F120" i="1"/>
  <c r="C935" i="1"/>
  <c r="D935" i="1"/>
  <c r="E935" i="1"/>
  <c r="F935" i="1"/>
  <c r="C1132" i="1"/>
  <c r="D1132" i="1"/>
  <c r="E1132" i="1"/>
  <c r="F1132" i="1"/>
  <c r="C380" i="1"/>
  <c r="D380" i="1"/>
  <c r="E380" i="1"/>
  <c r="F380" i="1"/>
  <c r="C390" i="1"/>
  <c r="D390" i="1"/>
  <c r="E390" i="1"/>
  <c r="F390" i="1"/>
  <c r="C751" i="1"/>
  <c r="D751" i="1"/>
  <c r="E751" i="1"/>
  <c r="F751" i="1"/>
  <c r="C13" i="1"/>
  <c r="D13" i="1"/>
  <c r="E13" i="1"/>
  <c r="F13" i="1"/>
  <c r="C18" i="1"/>
  <c r="D18" i="1"/>
  <c r="E18" i="1"/>
  <c r="F18" i="1"/>
  <c r="C19" i="1"/>
  <c r="D19" i="1"/>
  <c r="E19" i="1"/>
  <c r="F19" i="1"/>
  <c r="C411" i="1"/>
  <c r="D411" i="1"/>
  <c r="E411" i="1"/>
  <c r="F411" i="1"/>
  <c r="C361" i="1"/>
  <c r="D361" i="1"/>
  <c r="E361" i="1"/>
  <c r="F361" i="1"/>
  <c r="C473" i="1"/>
  <c r="D473" i="1"/>
  <c r="E473" i="1"/>
  <c r="F473" i="1"/>
  <c r="C357" i="1"/>
  <c r="D357" i="1"/>
  <c r="E357" i="1"/>
  <c r="F357" i="1"/>
  <c r="C2082" i="1"/>
  <c r="D2082" i="1"/>
  <c r="E2082" i="1"/>
  <c r="F2082" i="1"/>
  <c r="C1766" i="1"/>
  <c r="D1766" i="1"/>
  <c r="E1766" i="1"/>
  <c r="F1766" i="1"/>
  <c r="C1699" i="1"/>
  <c r="D1699" i="1"/>
  <c r="E1699" i="1"/>
  <c r="F1699" i="1"/>
  <c r="C1717" i="1"/>
  <c r="D1717" i="1"/>
  <c r="E1717" i="1"/>
  <c r="F1717" i="1"/>
  <c r="C1926" i="1"/>
  <c r="D1926" i="1"/>
  <c r="E1926" i="1"/>
  <c r="F1926" i="1"/>
  <c r="C2091" i="1"/>
  <c r="D2091" i="1"/>
  <c r="E2091" i="1"/>
  <c r="F2091" i="1"/>
  <c r="C2176" i="1"/>
  <c r="D2176" i="1"/>
  <c r="E2176" i="1"/>
  <c r="F2176" i="1"/>
  <c r="C2231" i="1"/>
  <c r="D2231" i="1"/>
  <c r="E2231" i="1"/>
  <c r="F2231" i="1"/>
  <c r="C2216" i="1"/>
  <c r="D2216" i="1"/>
  <c r="E2216" i="1"/>
  <c r="F2216" i="1"/>
  <c r="C502" i="1"/>
  <c r="D502" i="1"/>
  <c r="E502" i="1"/>
  <c r="F502" i="1"/>
  <c r="C1765" i="1"/>
  <c r="D1765" i="1"/>
  <c r="E1765" i="1"/>
  <c r="F1765" i="1"/>
  <c r="C1692" i="1"/>
  <c r="D1692" i="1"/>
  <c r="E1692" i="1"/>
  <c r="F1692" i="1"/>
  <c r="C2009" i="1"/>
  <c r="D2009" i="1"/>
  <c r="E2009" i="1"/>
  <c r="F2009" i="1"/>
  <c r="C2124" i="1"/>
  <c r="D2124" i="1"/>
  <c r="E2124" i="1"/>
  <c r="F2124" i="1"/>
  <c r="C2097" i="1"/>
  <c r="D2097" i="1"/>
  <c r="E2097" i="1"/>
  <c r="F2097" i="1"/>
  <c r="C2123" i="1"/>
  <c r="D2123" i="1"/>
  <c r="E2123" i="1"/>
  <c r="F2123" i="1"/>
  <c r="C2305" i="1"/>
  <c r="D2305" i="1"/>
  <c r="E2305" i="1"/>
  <c r="F2305" i="1"/>
  <c r="C2208" i="1"/>
  <c r="D2208" i="1"/>
  <c r="E2208" i="1"/>
  <c r="F2208" i="1"/>
  <c r="C2255" i="1"/>
  <c r="D2255" i="1"/>
  <c r="E2255" i="1"/>
  <c r="F2255" i="1"/>
  <c r="C2120" i="1"/>
  <c r="D2120" i="1"/>
  <c r="E2120" i="1"/>
  <c r="F2120" i="1"/>
  <c r="C865" i="1"/>
  <c r="D865" i="1"/>
  <c r="E865" i="1"/>
  <c r="F865" i="1"/>
  <c r="C2215" i="1"/>
  <c r="D2215" i="1"/>
  <c r="E2215" i="1"/>
  <c r="F2215" i="1"/>
  <c r="C2140" i="1"/>
  <c r="D2140" i="1"/>
  <c r="E2140" i="1"/>
  <c r="F2140" i="1"/>
  <c r="C2160" i="1"/>
  <c r="D2160" i="1"/>
  <c r="E2160" i="1"/>
  <c r="F2160" i="1"/>
  <c r="C2161" i="1"/>
  <c r="D2161" i="1"/>
  <c r="E2161" i="1"/>
  <c r="F2161" i="1"/>
  <c r="C1473" i="1"/>
  <c r="D1473" i="1"/>
  <c r="E1473" i="1"/>
  <c r="F1473" i="1"/>
  <c r="C1167" i="1"/>
  <c r="D1167" i="1"/>
  <c r="E1167" i="1"/>
  <c r="F1167" i="1"/>
  <c r="C1248" i="1"/>
  <c r="D1248" i="1"/>
  <c r="E1248" i="1"/>
  <c r="F1248" i="1"/>
  <c r="C1249" i="1"/>
  <c r="D1249" i="1"/>
  <c r="E1249" i="1"/>
  <c r="F1249" i="1"/>
  <c r="C997" i="1"/>
  <c r="D997" i="1"/>
  <c r="E997" i="1"/>
  <c r="F997" i="1"/>
  <c r="C1016" i="1"/>
  <c r="D1016" i="1"/>
  <c r="E1016" i="1"/>
  <c r="F1016" i="1"/>
  <c r="C797" i="1"/>
  <c r="D797" i="1"/>
  <c r="E797" i="1"/>
  <c r="F797" i="1"/>
  <c r="C755" i="1"/>
  <c r="D755" i="1"/>
  <c r="E755" i="1"/>
  <c r="F755" i="1"/>
  <c r="C993" i="1"/>
  <c r="D993" i="1"/>
  <c r="E993" i="1"/>
  <c r="F993" i="1"/>
  <c r="C29" i="1"/>
  <c r="D29" i="1"/>
  <c r="E29" i="1"/>
  <c r="F29" i="1"/>
  <c r="C722" i="1"/>
  <c r="D722" i="1"/>
  <c r="E722" i="1"/>
  <c r="F722" i="1"/>
  <c r="C1778" i="1"/>
  <c r="D1778" i="1"/>
  <c r="E1778" i="1"/>
  <c r="F1778" i="1"/>
  <c r="C169" i="1"/>
  <c r="D169" i="1"/>
  <c r="E169" i="1"/>
  <c r="F169" i="1"/>
  <c r="C1982" i="1"/>
  <c r="D1982" i="1"/>
  <c r="E1982" i="1"/>
  <c r="F1982" i="1"/>
  <c r="C1990" i="1"/>
  <c r="D1990" i="1"/>
  <c r="E1990" i="1"/>
  <c r="F1990" i="1"/>
  <c r="C1244" i="1"/>
  <c r="D1244" i="1"/>
  <c r="E1244" i="1"/>
  <c r="F1244" i="1"/>
  <c r="C2085" i="1"/>
  <c r="D2085" i="1"/>
  <c r="E2085" i="1"/>
  <c r="F2085" i="1"/>
  <c r="C2236" i="1"/>
  <c r="D2236" i="1"/>
  <c r="E2236" i="1"/>
  <c r="F2236" i="1"/>
  <c r="C1403" i="1"/>
  <c r="D1403" i="1"/>
  <c r="E1403" i="1"/>
  <c r="F1403" i="1"/>
  <c r="C2260" i="1"/>
  <c r="D2260" i="1"/>
  <c r="E2260" i="1"/>
  <c r="F2260" i="1"/>
  <c r="C2195" i="1"/>
  <c r="D2195" i="1"/>
  <c r="E2195" i="1"/>
  <c r="F2195" i="1"/>
  <c r="C1638" i="1"/>
  <c r="D1638" i="1"/>
  <c r="E1638" i="1"/>
  <c r="F1638" i="1"/>
  <c r="C959" i="1"/>
  <c r="D959" i="1"/>
  <c r="E959" i="1"/>
  <c r="F959" i="1"/>
  <c r="C2093" i="1"/>
  <c r="D2093" i="1"/>
  <c r="E2093" i="1"/>
  <c r="F2093" i="1"/>
  <c r="C1136" i="1"/>
  <c r="D1136" i="1"/>
  <c r="E1136" i="1"/>
  <c r="F1136" i="1"/>
  <c r="C1989" i="1"/>
  <c r="D1989" i="1"/>
  <c r="E1989" i="1"/>
  <c r="F1989" i="1"/>
  <c r="C2250" i="1"/>
  <c r="D2250" i="1"/>
  <c r="E2250" i="1"/>
  <c r="F2250" i="1"/>
  <c r="C538" i="1"/>
  <c r="D538" i="1"/>
  <c r="E538" i="1"/>
  <c r="F538" i="1"/>
  <c r="C556" i="1"/>
  <c r="D556" i="1"/>
  <c r="E556" i="1"/>
  <c r="F556" i="1"/>
  <c r="C2167" i="1"/>
  <c r="D2167" i="1"/>
  <c r="E2167" i="1"/>
  <c r="F2167" i="1"/>
  <c r="C1207" i="1"/>
  <c r="D1207" i="1"/>
  <c r="E1207" i="1"/>
  <c r="F1207" i="1"/>
  <c r="C1382" i="1"/>
  <c r="D1382" i="1"/>
  <c r="E1382" i="1"/>
  <c r="F1382" i="1"/>
  <c r="C1202" i="1"/>
  <c r="D1202" i="1"/>
  <c r="E1202" i="1"/>
  <c r="F1202" i="1"/>
  <c r="C1203" i="1"/>
  <c r="D1203" i="1"/>
  <c r="E1203" i="1"/>
  <c r="F1203" i="1"/>
  <c r="C1998" i="1"/>
  <c r="D1998" i="1"/>
  <c r="E1998" i="1"/>
  <c r="F1998" i="1"/>
  <c r="C1820" i="1"/>
  <c r="D1820" i="1"/>
  <c r="E1820" i="1"/>
  <c r="F1820" i="1"/>
  <c r="C391" i="1"/>
  <c r="D391" i="1"/>
  <c r="E391" i="1"/>
  <c r="F391" i="1"/>
  <c r="C1142" i="1"/>
  <c r="D1142" i="1"/>
  <c r="E1142" i="1"/>
  <c r="F1142" i="1"/>
  <c r="C728" i="1"/>
  <c r="D728" i="1"/>
  <c r="E728" i="1"/>
  <c r="F728" i="1"/>
  <c r="C996" i="1"/>
  <c r="D996" i="1"/>
  <c r="E996" i="1"/>
  <c r="F996" i="1"/>
  <c r="C658" i="1"/>
  <c r="D658" i="1"/>
  <c r="E658" i="1"/>
  <c r="F658" i="1"/>
  <c r="C921" i="1"/>
  <c r="D921" i="1"/>
  <c r="E921" i="1"/>
  <c r="F921" i="1"/>
  <c r="C643" i="1"/>
  <c r="D643" i="1"/>
  <c r="E643" i="1"/>
  <c r="F643" i="1"/>
  <c r="C683" i="1"/>
  <c r="D683" i="1"/>
  <c r="E683" i="1"/>
  <c r="F683" i="1"/>
  <c r="C1206" i="1"/>
  <c r="D1206" i="1"/>
  <c r="E1206" i="1"/>
  <c r="F1206" i="1"/>
  <c r="C1787" i="1"/>
  <c r="D1787" i="1"/>
  <c r="E1787" i="1"/>
  <c r="F1787" i="1"/>
  <c r="C920" i="1"/>
  <c r="D920" i="1"/>
  <c r="E920" i="1"/>
  <c r="F920" i="1"/>
  <c r="C976" i="1"/>
  <c r="D976" i="1"/>
  <c r="E976" i="1"/>
  <c r="F976" i="1"/>
  <c r="C1678" i="1"/>
  <c r="D1678" i="1"/>
  <c r="E1678" i="1"/>
  <c r="F1678" i="1"/>
  <c r="C521" i="1"/>
  <c r="D521" i="1"/>
  <c r="E521" i="1"/>
  <c r="F521" i="1"/>
  <c r="C78" i="1"/>
  <c r="D78" i="1"/>
  <c r="E78" i="1"/>
  <c r="F78" i="1"/>
  <c r="C853" i="1"/>
  <c r="D853" i="1"/>
  <c r="E853" i="1"/>
  <c r="F853" i="1"/>
  <c r="C422" i="1"/>
  <c r="D422" i="1"/>
  <c r="E422" i="1"/>
  <c r="F422" i="1"/>
  <c r="C2290" i="1"/>
  <c r="D2290" i="1"/>
  <c r="E2290" i="1"/>
  <c r="F2290" i="1"/>
  <c r="C2001" i="1"/>
  <c r="D2001" i="1"/>
  <c r="E2001" i="1"/>
  <c r="F2001" i="1"/>
  <c r="C1674" i="1"/>
  <c r="D1674" i="1"/>
  <c r="E1674" i="1"/>
  <c r="F1674" i="1"/>
  <c r="C1969" i="1"/>
  <c r="D1969" i="1"/>
  <c r="E1969" i="1"/>
  <c r="F1969" i="1"/>
  <c r="C2089" i="1"/>
  <c r="D2089" i="1"/>
  <c r="E2089" i="1"/>
  <c r="F2089" i="1"/>
  <c r="C107" i="1"/>
  <c r="D107" i="1"/>
  <c r="E107" i="1"/>
  <c r="F107" i="1"/>
  <c r="C838" i="1"/>
  <c r="D838" i="1"/>
  <c r="E838" i="1"/>
  <c r="F838" i="1"/>
  <c r="C501" i="1"/>
  <c r="D501" i="1"/>
  <c r="E501" i="1"/>
  <c r="F501" i="1"/>
  <c r="C985" i="1"/>
  <c r="D985" i="1"/>
  <c r="E985" i="1"/>
  <c r="F985" i="1"/>
  <c r="C2322" i="1"/>
  <c r="D2322" i="1"/>
  <c r="E2322" i="1"/>
  <c r="F2322" i="1"/>
  <c r="C1515" i="1"/>
  <c r="D1515" i="1"/>
  <c r="E1515" i="1"/>
  <c r="F1515" i="1"/>
  <c r="C2224" i="1"/>
  <c r="D2224" i="1"/>
  <c r="E2224" i="1"/>
  <c r="F2224" i="1"/>
  <c r="C881" i="1"/>
  <c r="D881" i="1"/>
  <c r="E881" i="1"/>
  <c r="F881" i="1"/>
  <c r="C727" i="1"/>
  <c r="D727" i="1"/>
  <c r="E727" i="1"/>
  <c r="F727" i="1"/>
  <c r="C1210" i="1"/>
  <c r="D1210" i="1"/>
  <c r="E1210" i="1"/>
  <c r="F1210" i="1"/>
  <c r="C1180" i="1"/>
  <c r="D1180" i="1"/>
  <c r="E1180" i="1"/>
  <c r="F1180" i="1"/>
  <c r="C548" i="1"/>
  <c r="D548" i="1"/>
  <c r="E548" i="1"/>
  <c r="F548" i="1"/>
  <c r="C713" i="1"/>
  <c r="D713" i="1"/>
  <c r="E713" i="1"/>
  <c r="F713" i="1"/>
  <c r="C804" i="1"/>
  <c r="D804" i="1"/>
  <c r="E804" i="1"/>
  <c r="F804" i="1"/>
  <c r="C792" i="1"/>
  <c r="D792" i="1"/>
  <c r="E792" i="1"/>
  <c r="F792" i="1"/>
  <c r="C874" i="1"/>
  <c r="D874" i="1"/>
  <c r="E874" i="1"/>
  <c r="F874" i="1"/>
  <c r="C659" i="1"/>
  <c r="D659" i="1"/>
  <c r="E659" i="1"/>
  <c r="F659" i="1"/>
  <c r="C919" i="1"/>
  <c r="D919" i="1"/>
  <c r="E919" i="1"/>
  <c r="F919" i="1"/>
  <c r="C1139" i="1"/>
  <c r="D1139" i="1"/>
  <c r="E1139" i="1"/>
  <c r="F1139" i="1"/>
  <c r="C1165" i="1"/>
  <c r="D1165" i="1"/>
  <c r="E1165" i="1"/>
  <c r="F1165" i="1"/>
  <c r="C1483" i="1"/>
  <c r="D1483" i="1"/>
  <c r="E1483" i="1"/>
  <c r="F1483" i="1"/>
  <c r="C1111" i="1"/>
  <c r="D1111" i="1"/>
  <c r="E1111" i="1"/>
  <c r="F1111" i="1"/>
  <c r="C215" i="1"/>
  <c r="D215" i="1"/>
  <c r="E215" i="1"/>
  <c r="F215" i="1"/>
  <c r="C698" i="1"/>
  <c r="D698" i="1"/>
  <c r="E698" i="1"/>
  <c r="F698" i="1"/>
  <c r="C682" i="1"/>
  <c r="D682" i="1"/>
  <c r="E682" i="1"/>
  <c r="F682" i="1"/>
  <c r="C402" i="1"/>
  <c r="D402" i="1"/>
  <c r="E402" i="1"/>
  <c r="F402" i="1"/>
  <c r="C578" i="1"/>
  <c r="D578" i="1"/>
  <c r="E578" i="1"/>
  <c r="F578" i="1"/>
  <c r="C370" i="1"/>
  <c r="D370" i="1"/>
  <c r="E370" i="1"/>
  <c r="F370" i="1"/>
  <c r="C599" i="1"/>
  <c r="D599" i="1"/>
  <c r="E599" i="1"/>
  <c r="F599" i="1"/>
  <c r="C153" i="1"/>
  <c r="D153" i="1"/>
  <c r="E153" i="1"/>
  <c r="F153" i="1"/>
  <c r="C243" i="1"/>
  <c r="D243" i="1"/>
  <c r="E243" i="1"/>
  <c r="F243" i="1"/>
  <c r="C244" i="1"/>
  <c r="D244" i="1"/>
  <c r="E244" i="1"/>
  <c r="F244" i="1"/>
  <c r="C862" i="1"/>
  <c r="D862" i="1"/>
  <c r="E862" i="1"/>
  <c r="F862" i="1"/>
  <c r="C1091" i="1"/>
  <c r="D1091" i="1"/>
  <c r="E1091" i="1"/>
  <c r="F1091" i="1"/>
  <c r="C475" i="1"/>
  <c r="D475" i="1"/>
  <c r="E475" i="1"/>
  <c r="F475" i="1"/>
  <c r="C738" i="1"/>
  <c r="D738" i="1"/>
  <c r="E738" i="1"/>
  <c r="F738" i="1"/>
  <c r="C891" i="1"/>
  <c r="D891" i="1"/>
  <c r="E891" i="1"/>
  <c r="F891" i="1"/>
  <c r="C607" i="1"/>
  <c r="D607" i="1"/>
  <c r="E607" i="1"/>
  <c r="F607" i="1"/>
  <c r="C514" i="1"/>
  <c r="D514" i="1"/>
  <c r="E514" i="1"/>
  <c r="F514" i="1"/>
  <c r="C972" i="1"/>
  <c r="D972" i="1"/>
  <c r="E972" i="1"/>
  <c r="F972" i="1"/>
  <c r="C1189" i="1"/>
  <c r="D1189" i="1"/>
  <c r="E1189" i="1"/>
  <c r="F1189" i="1"/>
  <c r="C433" i="1"/>
  <c r="D433" i="1"/>
  <c r="E433" i="1"/>
  <c r="F433" i="1"/>
  <c r="C1094" i="1"/>
  <c r="D1094" i="1"/>
  <c r="E1094" i="1"/>
  <c r="F1094" i="1"/>
  <c r="C864" i="1"/>
  <c r="D864" i="1"/>
  <c r="E864" i="1"/>
  <c r="F864" i="1"/>
  <c r="C1529" i="1"/>
  <c r="D1529" i="1"/>
  <c r="E1529" i="1"/>
  <c r="F1529" i="1"/>
  <c r="C1720" i="1"/>
  <c r="D1720" i="1"/>
  <c r="E1720" i="1"/>
  <c r="F1720" i="1"/>
  <c r="C1188" i="1"/>
  <c r="D1188" i="1"/>
  <c r="E1188" i="1"/>
  <c r="F1188" i="1"/>
  <c r="C961" i="1"/>
  <c r="D961" i="1"/>
  <c r="E961" i="1"/>
  <c r="F961" i="1"/>
  <c r="C1311" i="1"/>
  <c r="D1311" i="1"/>
  <c r="E1311" i="1"/>
  <c r="F1311" i="1"/>
  <c r="C951" i="1"/>
  <c r="D951" i="1"/>
  <c r="E951" i="1"/>
  <c r="F951" i="1"/>
  <c r="C1211" i="1"/>
  <c r="D1211" i="1"/>
  <c r="E1211" i="1"/>
  <c r="F1211" i="1"/>
  <c r="C944" i="1"/>
  <c r="D944" i="1"/>
  <c r="E944" i="1"/>
  <c r="F944" i="1"/>
  <c r="C364" i="1"/>
  <c r="D364" i="1"/>
  <c r="E364" i="1"/>
  <c r="F364" i="1"/>
  <c r="C1404" i="1"/>
  <c r="D1404" i="1"/>
  <c r="E1404" i="1"/>
  <c r="F1404" i="1"/>
  <c r="C892" i="1"/>
  <c r="D892" i="1"/>
  <c r="E892" i="1"/>
  <c r="F892" i="1"/>
  <c r="C1075" i="1"/>
  <c r="D1075" i="1"/>
  <c r="E1075" i="1"/>
  <c r="F1075" i="1"/>
  <c r="C317" i="1"/>
  <c r="D317" i="1"/>
  <c r="E317" i="1"/>
  <c r="F317" i="1"/>
  <c r="C15" i="1"/>
  <c r="D15" i="1"/>
  <c r="E15" i="1"/>
  <c r="F15" i="1"/>
  <c r="C1603" i="1"/>
  <c r="D1603" i="1"/>
  <c r="E1603" i="1"/>
  <c r="F1603" i="1"/>
  <c r="C1303" i="1"/>
  <c r="D1303" i="1"/>
  <c r="E1303" i="1"/>
  <c r="F1303" i="1"/>
  <c r="C388" i="1"/>
  <c r="D388" i="1"/>
  <c r="E388" i="1"/>
  <c r="F388" i="1"/>
  <c r="C938" i="1"/>
  <c r="D938" i="1"/>
  <c r="E938" i="1"/>
  <c r="F938" i="1"/>
  <c r="C1083" i="1"/>
  <c r="D1083" i="1"/>
  <c r="E1083" i="1"/>
  <c r="F1083" i="1"/>
  <c r="C1414" i="1"/>
  <c r="D1414" i="1"/>
  <c r="E1414" i="1"/>
  <c r="F1414" i="1"/>
  <c r="C1009" i="1"/>
  <c r="D1009" i="1"/>
  <c r="E1009" i="1"/>
  <c r="F1009" i="1"/>
  <c r="C932" i="1"/>
  <c r="D932" i="1"/>
  <c r="E932" i="1"/>
  <c r="F932" i="1"/>
  <c r="C347" i="1"/>
  <c r="D347" i="1"/>
  <c r="E347" i="1"/>
  <c r="F347" i="1"/>
  <c r="C127" i="1"/>
  <c r="D127" i="1"/>
  <c r="E127" i="1"/>
  <c r="F127" i="1"/>
  <c r="C401" i="1"/>
  <c r="D401" i="1"/>
  <c r="E401" i="1"/>
  <c r="F401" i="1"/>
  <c r="C295" i="1"/>
  <c r="D295" i="1"/>
  <c r="E295" i="1"/>
  <c r="F295" i="1"/>
  <c r="C147" i="1"/>
  <c r="D147" i="1"/>
  <c r="E147" i="1"/>
  <c r="F147" i="1"/>
  <c r="C235" i="1"/>
  <c r="D235" i="1"/>
  <c r="E235" i="1"/>
  <c r="F235" i="1"/>
  <c r="C397" i="1"/>
  <c r="D397" i="1"/>
  <c r="E397" i="1"/>
  <c r="F397" i="1"/>
  <c r="C348" i="1"/>
  <c r="D348" i="1"/>
  <c r="E348" i="1"/>
  <c r="F348" i="1"/>
  <c r="C332" i="1"/>
  <c r="D332" i="1"/>
  <c r="E332" i="1"/>
  <c r="F332" i="1"/>
  <c r="C1591" i="1"/>
  <c r="D1591" i="1"/>
  <c r="E1591" i="1"/>
  <c r="F1591" i="1"/>
  <c r="C1618" i="1"/>
  <c r="D1618" i="1"/>
  <c r="E1618" i="1"/>
  <c r="F1618" i="1"/>
  <c r="C449" i="1"/>
  <c r="D449" i="1"/>
  <c r="E449" i="1"/>
  <c r="F449" i="1"/>
  <c r="C418" i="1"/>
  <c r="D418" i="1"/>
  <c r="E418" i="1"/>
  <c r="F418" i="1"/>
  <c r="C296" i="1"/>
  <c r="D296" i="1"/>
  <c r="E296" i="1"/>
  <c r="F296" i="1"/>
  <c r="C860" i="1"/>
  <c r="D860" i="1"/>
  <c r="E860" i="1"/>
  <c r="F860" i="1"/>
  <c r="C425" i="1"/>
  <c r="D425" i="1"/>
  <c r="E425" i="1"/>
  <c r="F425" i="1"/>
  <c r="C271" i="1"/>
  <c r="D271" i="1"/>
  <c r="E271" i="1"/>
  <c r="F271" i="1"/>
  <c r="C1446" i="1"/>
  <c r="D1446" i="1"/>
  <c r="E1446" i="1"/>
  <c r="F1446" i="1"/>
  <c r="C1413" i="1"/>
  <c r="D1413" i="1"/>
  <c r="E1413" i="1"/>
  <c r="F1413" i="1"/>
  <c r="C220" i="1"/>
  <c r="D220" i="1"/>
  <c r="E220" i="1"/>
  <c r="F220" i="1"/>
  <c r="C1166" i="1"/>
  <c r="D1166" i="1"/>
  <c r="E1166" i="1"/>
  <c r="F1166" i="1"/>
  <c r="C1724" i="1"/>
  <c r="D1724" i="1"/>
  <c r="E1724" i="1"/>
  <c r="F1724" i="1"/>
  <c r="C261" i="1"/>
  <c r="D261" i="1"/>
  <c r="E261" i="1"/>
  <c r="F261" i="1"/>
  <c r="C394" i="1"/>
  <c r="D394" i="1"/>
  <c r="E394" i="1"/>
  <c r="F394" i="1"/>
  <c r="C1796" i="1"/>
  <c r="D1796" i="1"/>
  <c r="E1796" i="1"/>
  <c r="F1796" i="1"/>
  <c r="C771" i="1"/>
  <c r="D771" i="1"/>
  <c r="E771" i="1"/>
  <c r="F771" i="1"/>
  <c r="C1137" i="1"/>
  <c r="D1137" i="1"/>
  <c r="E1137" i="1"/>
  <c r="F1137" i="1"/>
  <c r="C1471" i="1"/>
  <c r="D1471" i="1"/>
  <c r="E1471" i="1"/>
  <c r="F1471" i="1"/>
  <c r="C1146" i="1"/>
  <c r="D1146" i="1"/>
  <c r="E1146" i="1"/>
  <c r="F1146" i="1"/>
  <c r="C696" i="1"/>
  <c r="D696" i="1"/>
  <c r="E696" i="1"/>
  <c r="F696" i="1"/>
  <c r="C116" i="1"/>
  <c r="D116" i="1"/>
  <c r="E116" i="1"/>
  <c r="F116" i="1"/>
  <c r="C1092" i="1"/>
  <c r="D1092" i="1"/>
  <c r="E1092" i="1"/>
  <c r="F1092" i="1"/>
  <c r="C1025" i="1"/>
  <c r="D1025" i="1"/>
  <c r="E1025" i="1"/>
  <c r="F1025" i="1"/>
  <c r="C1896" i="1"/>
  <c r="D1896" i="1"/>
  <c r="E1896" i="1"/>
  <c r="F1896" i="1"/>
  <c r="C264" i="1"/>
  <c r="D264" i="1"/>
  <c r="E264" i="1"/>
  <c r="F264" i="1"/>
  <c r="C171" i="1"/>
  <c r="D171" i="1"/>
  <c r="E171" i="1"/>
  <c r="F171" i="1"/>
  <c r="C555" i="1"/>
  <c r="D555" i="1"/>
  <c r="E555" i="1"/>
  <c r="F555" i="1"/>
  <c r="C426" i="1"/>
  <c r="D426" i="1"/>
  <c r="E426" i="1"/>
  <c r="F426" i="1"/>
  <c r="C904" i="1"/>
  <c r="D904" i="1"/>
  <c r="E904" i="1"/>
  <c r="F904" i="1"/>
  <c r="C234" i="1"/>
  <c r="D234" i="1"/>
  <c r="E234" i="1"/>
  <c r="F234" i="1"/>
  <c r="C963" i="1"/>
  <c r="D963" i="1"/>
  <c r="E963" i="1"/>
  <c r="F963" i="1"/>
  <c r="C1263" i="1"/>
  <c r="D1263" i="1"/>
  <c r="E1263" i="1"/>
  <c r="F1263" i="1"/>
  <c r="C1192" i="1"/>
  <c r="D1192" i="1"/>
  <c r="E1192" i="1"/>
  <c r="F1192" i="1"/>
  <c r="C909" i="1"/>
  <c r="D909" i="1"/>
  <c r="E909" i="1"/>
  <c r="F909" i="1"/>
  <c r="C958" i="1"/>
  <c r="D958" i="1"/>
  <c r="E958" i="1"/>
  <c r="F958" i="1"/>
  <c r="C331" i="1"/>
  <c r="D331" i="1"/>
  <c r="E331" i="1"/>
  <c r="F331" i="1"/>
  <c r="C1285" i="1"/>
  <c r="D1285" i="1"/>
  <c r="E1285" i="1"/>
  <c r="F1285" i="1"/>
  <c r="C1615" i="1"/>
  <c r="D1615" i="1"/>
  <c r="E1615" i="1"/>
  <c r="F1615" i="1"/>
  <c r="C1026" i="1"/>
  <c r="D1026" i="1"/>
  <c r="E1026" i="1"/>
  <c r="F1026" i="1"/>
  <c r="C366" i="1"/>
  <c r="D366" i="1"/>
  <c r="E366" i="1"/>
  <c r="F366" i="1"/>
  <c r="C812" i="1"/>
  <c r="D812" i="1"/>
  <c r="E812" i="1"/>
  <c r="F812" i="1"/>
  <c r="C927" i="1"/>
  <c r="D927" i="1"/>
  <c r="E927" i="1"/>
  <c r="F927" i="1"/>
  <c r="C726" i="1"/>
  <c r="D726" i="1"/>
  <c r="E726" i="1"/>
  <c r="F726" i="1"/>
  <c r="C654" i="1"/>
  <c r="D654" i="1"/>
  <c r="E654" i="1"/>
  <c r="F654" i="1"/>
  <c r="C823" i="1"/>
  <c r="D823" i="1"/>
  <c r="E823" i="1"/>
  <c r="F823" i="1"/>
  <c r="C1743" i="1"/>
  <c r="D1743" i="1"/>
  <c r="E1743" i="1"/>
  <c r="F1743" i="1"/>
  <c r="C1037" i="1"/>
  <c r="D1037" i="1"/>
  <c r="E1037" i="1"/>
  <c r="F1037" i="1"/>
  <c r="C855" i="1"/>
  <c r="D855" i="1"/>
  <c r="E855" i="1"/>
  <c r="F855" i="1"/>
  <c r="C281" i="1"/>
  <c r="D281" i="1"/>
  <c r="E281" i="1"/>
  <c r="F281" i="1"/>
  <c r="C282" i="1"/>
  <c r="D282" i="1"/>
  <c r="E282" i="1"/>
  <c r="F282" i="1"/>
  <c r="C519" i="1"/>
  <c r="D519" i="1"/>
  <c r="E519" i="1"/>
  <c r="F519" i="1"/>
  <c r="C520" i="1"/>
  <c r="D520" i="1"/>
  <c r="E520" i="1"/>
  <c r="F520" i="1"/>
  <c r="C321" i="1"/>
  <c r="D321" i="1"/>
  <c r="E321" i="1"/>
  <c r="F321" i="1"/>
  <c r="C396" i="1"/>
  <c r="D396" i="1"/>
  <c r="E396" i="1"/>
  <c r="F396" i="1"/>
  <c r="C1049" i="1"/>
  <c r="D1049" i="1"/>
  <c r="E1049" i="1"/>
  <c r="F1049" i="1"/>
  <c r="C1100" i="1"/>
  <c r="D1100" i="1"/>
  <c r="E1100" i="1"/>
  <c r="F1100" i="1"/>
  <c r="C837" i="1"/>
  <c r="D837" i="1"/>
  <c r="E837" i="1"/>
  <c r="F837" i="1"/>
  <c r="C642" i="1"/>
  <c r="D642" i="1"/>
  <c r="E642" i="1"/>
  <c r="F642" i="1"/>
  <c r="C1508" i="1"/>
  <c r="D1508" i="1"/>
  <c r="E1508" i="1"/>
  <c r="F1508" i="1"/>
  <c r="C918" i="1"/>
  <c r="D918" i="1"/>
  <c r="E918" i="1"/>
  <c r="F918" i="1"/>
  <c r="C824" i="1"/>
  <c r="D824" i="1"/>
  <c r="E824" i="1"/>
  <c r="F824" i="1"/>
  <c r="C796" i="1"/>
  <c r="D796" i="1"/>
  <c r="E796" i="1"/>
  <c r="F796" i="1"/>
  <c r="C1301" i="1"/>
  <c r="D1301" i="1"/>
  <c r="E1301" i="1"/>
  <c r="F1301" i="1"/>
  <c r="C209" i="1"/>
  <c r="D209" i="1"/>
  <c r="E209" i="1"/>
  <c r="F209" i="1"/>
  <c r="C1842" i="1"/>
  <c r="D1842" i="1"/>
  <c r="E1842" i="1"/>
  <c r="F1842" i="1"/>
  <c r="C633" i="1"/>
  <c r="D633" i="1"/>
  <c r="E633" i="1"/>
  <c r="F633" i="1"/>
  <c r="C1327" i="1"/>
  <c r="D1327" i="1"/>
  <c r="E1327" i="1"/>
  <c r="F1327" i="1"/>
  <c r="C494" i="1"/>
  <c r="D494" i="1"/>
  <c r="E494" i="1"/>
  <c r="F494" i="1"/>
  <c r="C1653" i="1"/>
  <c r="D1653" i="1"/>
  <c r="E1653" i="1"/>
  <c r="F1653" i="1"/>
  <c r="C518" i="1"/>
  <c r="D518" i="1"/>
  <c r="E518" i="1"/>
  <c r="F518" i="1"/>
  <c r="C1027" i="1"/>
  <c r="D1027" i="1"/>
  <c r="E1027" i="1"/>
  <c r="F1027" i="1"/>
  <c r="C718" i="1"/>
  <c r="D718" i="1"/>
  <c r="E718" i="1"/>
  <c r="F718" i="1"/>
  <c r="C1087" i="1"/>
  <c r="D1087" i="1"/>
  <c r="E1087" i="1"/>
  <c r="F1087" i="1"/>
  <c r="C2088" i="1"/>
  <c r="D2088" i="1"/>
  <c r="E2088" i="1"/>
  <c r="F2088" i="1"/>
  <c r="C700" i="1"/>
  <c r="D700" i="1"/>
  <c r="E700" i="1"/>
  <c r="F700" i="1"/>
  <c r="C973" i="1"/>
  <c r="D973" i="1"/>
  <c r="E973" i="1"/>
  <c r="F973" i="1"/>
  <c r="C1502" i="1"/>
  <c r="D1502" i="1"/>
  <c r="E1502" i="1"/>
  <c r="F1502" i="1"/>
  <c r="C432" i="1"/>
  <c r="D432" i="1"/>
  <c r="E432" i="1"/>
  <c r="F432" i="1"/>
  <c r="C1364" i="1"/>
  <c r="D1364" i="1"/>
  <c r="E1364" i="1"/>
  <c r="F1364" i="1"/>
  <c r="C1306" i="1"/>
  <c r="D1306" i="1"/>
  <c r="E1306" i="1"/>
  <c r="F1306" i="1"/>
  <c r="C1547" i="1"/>
  <c r="D1547" i="1"/>
  <c r="E1547" i="1"/>
  <c r="F1547" i="1"/>
  <c r="C1367" i="1"/>
  <c r="D1367" i="1"/>
  <c r="E1367" i="1"/>
  <c r="F1367" i="1"/>
  <c r="C1503" i="1"/>
  <c r="D1503" i="1"/>
  <c r="E1503" i="1"/>
  <c r="F1503" i="1"/>
  <c r="C1849" i="1"/>
  <c r="D1849" i="1"/>
  <c r="E1849" i="1"/>
  <c r="F1849" i="1"/>
  <c r="C1201" i="1"/>
  <c r="D1201" i="1"/>
  <c r="E1201" i="1"/>
  <c r="F1201" i="1"/>
  <c r="C1869" i="1"/>
  <c r="D1869" i="1"/>
  <c r="E1869" i="1"/>
  <c r="F1869" i="1"/>
  <c r="C2289" i="1"/>
  <c r="D2289" i="1"/>
  <c r="E2289" i="1"/>
  <c r="F2289" i="1"/>
  <c r="C2111" i="1"/>
  <c r="D2111" i="1"/>
  <c r="E2111" i="1"/>
  <c r="F2111" i="1"/>
  <c r="C1532" i="1"/>
  <c r="D1532" i="1"/>
  <c r="E1532" i="1"/>
  <c r="F1532" i="1"/>
  <c r="C1356" i="1"/>
  <c r="D1356" i="1"/>
  <c r="E1356" i="1"/>
  <c r="F1356" i="1"/>
  <c r="C1045" i="1"/>
  <c r="D1045" i="1"/>
  <c r="E1045" i="1"/>
  <c r="F1045" i="1"/>
  <c r="C1058" i="1"/>
  <c r="D1058" i="1"/>
  <c r="E1058" i="1"/>
  <c r="F1058" i="1"/>
  <c r="C1044" i="1"/>
  <c r="D1044" i="1"/>
  <c r="E1044" i="1"/>
  <c r="F1044" i="1"/>
  <c r="C1247" i="1"/>
  <c r="D1247" i="1"/>
  <c r="E1247" i="1"/>
  <c r="F1247" i="1"/>
  <c r="C2144" i="1"/>
  <c r="D2144" i="1"/>
  <c r="E2144" i="1"/>
  <c r="F2144" i="1"/>
  <c r="C1736" i="1"/>
  <c r="D1736" i="1"/>
  <c r="E1736" i="1"/>
  <c r="F1736" i="1"/>
  <c r="C515" i="1"/>
  <c r="D515" i="1"/>
  <c r="E515" i="1"/>
  <c r="F515" i="1"/>
  <c r="C6" i="1"/>
  <c r="D6" i="1"/>
  <c r="E6" i="1"/>
  <c r="F6" i="1"/>
  <c r="C480" i="1"/>
  <c r="D480" i="1"/>
  <c r="E480" i="1"/>
  <c r="F480" i="1"/>
  <c r="C2027" i="1"/>
  <c r="D2027" i="1"/>
  <c r="E2027" i="1"/>
  <c r="F2027" i="1"/>
  <c r="C1783" i="1"/>
  <c r="D1783" i="1"/>
  <c r="E1783" i="1"/>
  <c r="F1783" i="1"/>
  <c r="C783" i="1"/>
  <c r="D783" i="1"/>
  <c r="E783" i="1"/>
  <c r="F783" i="1"/>
  <c r="C1947" i="1"/>
  <c r="D1947" i="1"/>
  <c r="E1947" i="1"/>
  <c r="F1947" i="1"/>
  <c r="C1585" i="1"/>
  <c r="D1585" i="1"/>
  <c r="E1585" i="1"/>
  <c r="F1585" i="1"/>
  <c r="C1586" i="1"/>
  <c r="D1586" i="1"/>
  <c r="E1586" i="1"/>
  <c r="F1586" i="1"/>
  <c r="C456" i="1"/>
  <c r="D456" i="1"/>
  <c r="E456" i="1"/>
  <c r="F456" i="1"/>
  <c r="C1681" i="1"/>
  <c r="D1681" i="1"/>
  <c r="E1681" i="1"/>
  <c r="F1681" i="1"/>
  <c r="C22" i="1"/>
  <c r="D22" i="1"/>
  <c r="E22" i="1"/>
  <c r="F22" i="1"/>
  <c r="C159" i="1"/>
  <c r="D159" i="1"/>
  <c r="E159" i="1"/>
  <c r="F159" i="1"/>
  <c r="C1177" i="1"/>
  <c r="D1177" i="1"/>
  <c r="E1177" i="1"/>
  <c r="F1177" i="1"/>
  <c r="C1642" i="1"/>
  <c r="D1642" i="1"/>
  <c r="E1642" i="1"/>
  <c r="F1642" i="1"/>
  <c r="C219" i="1"/>
  <c r="D219" i="1"/>
  <c r="E219" i="1"/>
  <c r="F219" i="1"/>
  <c r="C2275" i="1"/>
  <c r="D2275" i="1"/>
  <c r="E2275" i="1"/>
  <c r="F2275" i="1"/>
  <c r="C1776" i="1"/>
  <c r="D1776" i="1"/>
  <c r="E1776" i="1"/>
  <c r="F1776" i="1"/>
  <c r="C2033" i="1"/>
  <c r="D2033" i="1"/>
  <c r="E2033" i="1"/>
  <c r="F2033" i="1"/>
  <c r="C1576" i="1"/>
  <c r="D1576" i="1"/>
  <c r="E1576" i="1"/>
  <c r="F1576" i="1"/>
  <c r="C1769" i="1"/>
  <c r="D1769" i="1"/>
  <c r="E1769" i="1"/>
  <c r="F1769" i="1"/>
  <c r="C969" i="1"/>
  <c r="D969" i="1"/>
  <c r="E969" i="1"/>
  <c r="F969" i="1"/>
  <c r="C795" i="1"/>
  <c r="D795" i="1"/>
  <c r="E795" i="1"/>
  <c r="F795" i="1"/>
  <c r="C1728" i="1"/>
  <c r="D1728" i="1"/>
  <c r="E1728" i="1"/>
  <c r="F1728" i="1"/>
  <c r="C2288" i="1"/>
  <c r="D2288" i="1"/>
  <c r="E2288" i="1"/>
  <c r="F2288" i="1"/>
  <c r="C1945" i="1"/>
  <c r="D1945" i="1"/>
  <c r="E1945" i="1"/>
  <c r="F1945" i="1"/>
  <c r="C1980" i="1"/>
  <c r="D1980" i="1"/>
  <c r="E1980" i="1"/>
  <c r="F1980" i="1"/>
  <c r="C2324" i="1"/>
  <c r="D2324" i="1"/>
  <c r="E2324" i="1"/>
  <c r="F2324" i="1"/>
  <c r="C2318" i="1"/>
  <c r="D2318" i="1"/>
  <c r="E2318" i="1"/>
  <c r="F2318" i="1"/>
  <c r="C1729" i="1"/>
  <c r="D1729" i="1"/>
  <c r="E1729" i="1"/>
  <c r="F1729" i="1"/>
  <c r="C2201" i="1"/>
  <c r="D2201" i="1"/>
  <c r="E2201" i="1"/>
  <c r="F2201" i="1"/>
  <c r="C1876" i="1"/>
  <c r="D1876" i="1"/>
  <c r="E1876" i="1"/>
  <c r="F1876" i="1"/>
  <c r="C1887" i="1"/>
  <c r="D1887" i="1"/>
  <c r="E1887" i="1"/>
  <c r="F1887" i="1"/>
  <c r="C1435" i="1"/>
  <c r="D1435" i="1"/>
  <c r="E1435" i="1"/>
  <c r="F1435" i="1"/>
  <c r="C1915" i="1"/>
  <c r="D1915" i="1"/>
  <c r="E1915" i="1"/>
  <c r="F1915" i="1"/>
  <c r="C1090" i="1"/>
  <c r="D1090" i="1"/>
  <c r="E1090" i="1"/>
  <c r="F1090" i="1"/>
  <c r="C1324" i="1"/>
  <c r="D1324" i="1"/>
  <c r="E1324" i="1"/>
  <c r="F1324" i="1"/>
  <c r="C1438" i="1"/>
  <c r="D1438" i="1"/>
  <c r="E1438" i="1"/>
  <c r="F1438" i="1"/>
  <c r="C2126" i="1"/>
  <c r="D2126" i="1"/>
  <c r="E2126" i="1"/>
  <c r="F2126" i="1"/>
  <c r="C136" i="1"/>
  <c r="D136" i="1"/>
  <c r="E136" i="1"/>
  <c r="F136" i="1"/>
  <c r="C2087" i="1"/>
  <c r="D2087" i="1"/>
  <c r="E2087" i="1"/>
  <c r="F2087" i="1"/>
  <c r="C2239" i="1"/>
  <c r="D2239" i="1"/>
  <c r="E2239" i="1"/>
  <c r="F2239" i="1"/>
  <c r="C1407" i="1"/>
  <c r="D1407" i="1"/>
  <c r="E1407" i="1"/>
  <c r="F1407" i="1"/>
  <c r="C2323" i="1"/>
  <c r="D2323" i="1"/>
  <c r="E2323" i="1"/>
  <c r="F2323" i="1"/>
  <c r="C2206" i="1"/>
  <c r="D2206" i="1"/>
  <c r="E2206" i="1"/>
  <c r="F2206" i="1"/>
  <c r="C1997" i="1"/>
  <c r="D1997" i="1"/>
  <c r="E1997" i="1"/>
  <c r="F1997" i="1"/>
  <c r="C1961" i="1"/>
  <c r="D1961" i="1"/>
  <c r="E1961" i="1"/>
  <c r="F1961" i="1"/>
  <c r="C2210" i="1"/>
  <c r="D2210" i="1"/>
  <c r="E2210" i="1"/>
  <c r="F2210" i="1"/>
  <c r="C1812" i="1"/>
  <c r="D1812" i="1"/>
  <c r="E1812" i="1"/>
  <c r="F1812" i="1"/>
  <c r="C1526" i="1"/>
  <c r="D1526" i="1"/>
  <c r="E1526" i="1"/>
  <c r="F1526" i="1"/>
  <c r="C1884" i="1"/>
  <c r="D1884" i="1"/>
  <c r="E1884" i="1"/>
  <c r="F1884" i="1"/>
  <c r="C1691" i="1"/>
  <c r="D1691" i="1"/>
  <c r="E1691" i="1"/>
  <c r="F1691" i="1"/>
  <c r="C2172" i="1"/>
  <c r="D2172" i="1"/>
  <c r="E2172" i="1"/>
  <c r="F2172" i="1"/>
  <c r="C2313" i="1"/>
  <c r="D2313" i="1"/>
  <c r="E2313" i="1"/>
  <c r="F2313" i="1"/>
  <c r="C1757" i="1"/>
  <c r="D1757" i="1"/>
  <c r="E1757" i="1"/>
  <c r="F1757" i="1"/>
  <c r="C1677" i="1"/>
  <c r="D1677" i="1"/>
  <c r="E1677" i="1"/>
  <c r="F1677" i="1"/>
  <c r="C1854" i="1"/>
  <c r="D1854" i="1"/>
  <c r="E1854" i="1"/>
  <c r="F1854" i="1"/>
  <c r="C517" i="1"/>
  <c r="D517" i="1"/>
  <c r="E517" i="1"/>
  <c r="F517" i="1"/>
  <c r="C2028" i="1"/>
  <c r="D2028" i="1"/>
  <c r="E2028" i="1"/>
  <c r="F2028" i="1"/>
  <c r="C1897" i="1"/>
  <c r="D1897" i="1"/>
  <c r="E1897" i="1"/>
  <c r="F1897" i="1"/>
  <c r="C1832" i="1"/>
  <c r="D1832" i="1"/>
  <c r="E1832" i="1"/>
  <c r="F1832" i="1"/>
  <c r="C681" i="1"/>
  <c r="D681" i="1"/>
  <c r="E681" i="1"/>
  <c r="F681" i="1"/>
  <c r="C1630" i="1"/>
  <c r="D1630" i="1"/>
  <c r="E1630" i="1"/>
  <c r="F1630" i="1"/>
  <c r="C2299" i="1"/>
  <c r="D2299" i="1"/>
  <c r="E2299" i="1"/>
  <c r="F2299" i="1"/>
  <c r="C699" i="1"/>
  <c r="D699" i="1"/>
  <c r="E699" i="1"/>
  <c r="F699" i="1"/>
  <c r="C2031" i="1"/>
  <c r="D2031" i="1"/>
  <c r="E2031" i="1"/>
  <c r="F2031" i="1"/>
  <c r="C2184" i="1"/>
  <c r="D2184" i="1"/>
  <c r="E2184" i="1"/>
  <c r="F2184" i="1"/>
  <c r="C1889" i="1"/>
  <c r="D1889" i="1"/>
  <c r="E1889" i="1"/>
  <c r="F1889" i="1"/>
  <c r="C1257" i="1"/>
  <c r="D1257" i="1"/>
  <c r="E1257" i="1"/>
  <c r="F1257" i="1"/>
  <c r="C954" i="1"/>
  <c r="D954" i="1"/>
  <c r="E954" i="1"/>
  <c r="F954" i="1"/>
  <c r="C1015" i="1"/>
  <c r="D1015" i="1"/>
  <c r="E1015" i="1"/>
  <c r="F1015" i="1"/>
  <c r="C2130" i="1"/>
  <c r="D2130" i="1"/>
  <c r="E2130" i="1"/>
  <c r="F2130" i="1"/>
  <c r="C2178" i="1"/>
  <c r="D2178" i="1"/>
  <c r="E2178" i="1"/>
  <c r="F2178" i="1"/>
  <c r="C2269" i="1"/>
  <c r="D2269" i="1"/>
  <c r="E2269" i="1"/>
  <c r="F2269" i="1"/>
  <c r="C813" i="1"/>
  <c r="D813" i="1"/>
  <c r="E813" i="1"/>
  <c r="F813" i="1"/>
  <c r="C594" i="1"/>
  <c r="D594" i="1"/>
  <c r="E594" i="1"/>
  <c r="F594" i="1"/>
  <c r="C1453" i="1"/>
  <c r="D1453" i="1"/>
  <c r="E1453" i="1"/>
  <c r="F1453" i="1"/>
  <c r="C2042" i="1"/>
  <c r="D2042" i="1"/>
  <c r="E2042" i="1"/>
  <c r="F2042" i="1"/>
  <c r="C1487" i="1"/>
  <c r="D1487" i="1"/>
  <c r="E1487" i="1"/>
  <c r="F1487" i="1"/>
  <c r="C1383" i="1"/>
  <c r="D1383" i="1"/>
  <c r="E1383" i="1"/>
  <c r="F1383" i="1"/>
  <c r="C382" i="1"/>
  <c r="D382" i="1"/>
  <c r="E382" i="1"/>
  <c r="F382" i="1"/>
  <c r="C794" i="1"/>
  <c r="D794" i="1"/>
  <c r="E794" i="1"/>
  <c r="F794" i="1"/>
  <c r="C1627" i="1"/>
  <c r="D1627" i="1"/>
  <c r="E1627" i="1"/>
  <c r="F1627" i="1"/>
  <c r="C1256" i="1"/>
  <c r="D1256" i="1"/>
  <c r="E1256" i="1"/>
  <c r="F1256" i="1"/>
  <c r="C1964" i="1"/>
  <c r="D1964" i="1"/>
  <c r="E1964" i="1"/>
  <c r="F1964" i="1"/>
  <c r="C2065" i="1"/>
  <c r="D2065" i="1"/>
  <c r="E2065" i="1"/>
  <c r="F2065" i="1"/>
  <c r="C1675" i="1"/>
  <c r="D1675" i="1"/>
  <c r="E1675" i="1"/>
  <c r="F1675" i="1"/>
  <c r="C2235" i="1"/>
  <c r="D2235" i="1"/>
  <c r="E2235" i="1"/>
  <c r="F2235" i="1"/>
  <c r="C831" i="1"/>
  <c r="D831" i="1"/>
  <c r="E831" i="1"/>
  <c r="F831" i="1"/>
  <c r="C1115" i="1"/>
  <c r="D1115" i="1"/>
  <c r="E1115" i="1"/>
  <c r="F1115" i="1"/>
  <c r="C400" i="1"/>
  <c r="D400" i="1"/>
  <c r="E400" i="1"/>
  <c r="F400" i="1"/>
  <c r="C2297" i="1"/>
  <c r="D2297" i="1"/>
  <c r="E2297" i="1"/>
  <c r="F2297" i="1"/>
  <c r="C2279" i="1"/>
  <c r="D2279" i="1"/>
  <c r="E2279" i="1"/>
  <c r="F2279" i="1"/>
  <c r="C1308" i="1"/>
  <c r="D1308" i="1"/>
  <c r="E1308" i="1"/>
  <c r="F1308" i="1"/>
  <c r="C1823" i="1"/>
  <c r="D1823" i="1"/>
  <c r="E1823" i="1"/>
  <c r="F1823" i="1"/>
  <c r="C725" i="1"/>
  <c r="D725" i="1"/>
  <c r="E725" i="1"/>
  <c r="F725" i="1"/>
  <c r="C1697" i="1"/>
  <c r="D1697" i="1"/>
  <c r="E1697" i="1"/>
  <c r="F1697" i="1"/>
  <c r="C381" i="1"/>
  <c r="D381" i="1"/>
  <c r="E381" i="1"/>
  <c r="F381" i="1"/>
  <c r="C1078" i="1"/>
  <c r="D1078" i="1"/>
  <c r="E1078" i="1"/>
  <c r="F1078" i="1"/>
  <c r="C893" i="1"/>
  <c r="D893" i="1"/>
  <c r="E893" i="1"/>
  <c r="F893" i="1"/>
  <c r="C1466" i="1"/>
  <c r="D1466" i="1"/>
  <c r="E1466" i="1"/>
  <c r="F1466" i="1"/>
  <c r="C466" i="1"/>
  <c r="D466" i="1"/>
  <c r="E466" i="1"/>
  <c r="F466" i="1"/>
  <c r="C376" i="1"/>
  <c r="D376" i="1"/>
  <c r="E376" i="1"/>
  <c r="F376" i="1"/>
  <c r="C1598" i="1"/>
  <c r="D1598" i="1"/>
  <c r="E1598" i="1"/>
  <c r="F1598" i="1"/>
  <c r="C1625" i="1"/>
  <c r="D1625" i="1"/>
  <c r="E1625" i="1"/>
  <c r="F1625" i="1"/>
  <c r="C346" i="1"/>
  <c r="D346" i="1"/>
  <c r="E346" i="1"/>
  <c r="F346" i="1"/>
  <c r="C2326" i="1"/>
  <c r="D2326" i="1"/>
  <c r="E2326" i="1"/>
  <c r="F2326" i="1"/>
  <c r="C1293" i="1"/>
  <c r="D1293" i="1"/>
  <c r="E1293" i="1"/>
  <c r="F1293" i="1"/>
  <c r="C1169" i="1"/>
  <c r="D1169" i="1"/>
  <c r="E1169" i="1"/>
  <c r="F1169" i="1"/>
  <c r="C2245" i="1"/>
  <c r="D2245" i="1"/>
  <c r="E2245" i="1"/>
  <c r="F2245" i="1"/>
  <c r="C1963" i="1"/>
  <c r="D1963" i="1"/>
  <c r="E1963" i="1"/>
  <c r="F1963" i="1"/>
  <c r="C1644" i="1"/>
  <c r="D1644" i="1"/>
  <c r="E1644" i="1"/>
  <c r="F1644" i="1"/>
  <c r="C2312" i="1"/>
  <c r="D2312" i="1"/>
  <c r="E2312" i="1"/>
  <c r="F2312" i="1"/>
  <c r="C2284" i="1"/>
  <c r="D2284" i="1"/>
  <c r="E2284" i="1"/>
  <c r="F2284" i="1"/>
  <c r="C1955" i="1"/>
  <c r="D1955" i="1"/>
  <c r="E1955" i="1"/>
  <c r="F1955" i="1"/>
  <c r="C1960" i="1"/>
  <c r="D1960" i="1"/>
  <c r="E1960" i="1"/>
  <c r="F1960" i="1"/>
  <c r="C917" i="1"/>
  <c r="D917" i="1"/>
  <c r="E917" i="1"/>
  <c r="F917" i="1"/>
  <c r="C598" i="1"/>
  <c r="D598" i="1"/>
  <c r="E598" i="1"/>
  <c r="F598" i="1"/>
  <c r="C1648" i="1"/>
  <c r="D1648" i="1"/>
  <c r="E1648" i="1"/>
  <c r="F1648" i="1"/>
  <c r="C1671" i="1"/>
  <c r="D1671" i="1"/>
  <c r="E1671" i="1"/>
  <c r="F1671" i="1"/>
  <c r="C2020" i="1"/>
  <c r="D2020" i="1"/>
  <c r="E2020" i="1"/>
  <c r="F2020" i="1"/>
  <c r="C1276" i="1"/>
  <c r="D1276" i="1"/>
  <c r="E1276" i="1"/>
  <c r="F1276" i="1"/>
  <c r="C1954" i="1"/>
  <c r="D1954" i="1"/>
  <c r="E1954" i="1"/>
  <c r="F1954" i="1"/>
  <c r="C2274" i="1"/>
  <c r="D2274" i="1"/>
  <c r="E2274" i="1"/>
  <c r="F2274" i="1"/>
  <c r="C1205" i="1"/>
  <c r="D1205" i="1"/>
  <c r="E1205" i="1"/>
  <c r="F1205" i="1"/>
  <c r="C2328" i="1"/>
  <c r="D2328" i="1"/>
  <c r="E2328" i="1"/>
  <c r="F2328" i="1"/>
  <c r="C911" i="1"/>
  <c r="D911" i="1"/>
  <c r="E911" i="1"/>
  <c r="F911" i="1"/>
  <c r="C981" i="1"/>
  <c r="D981" i="1"/>
  <c r="E981" i="1"/>
  <c r="F981" i="1"/>
  <c r="C2272" i="1"/>
  <c r="D2272" i="1"/>
  <c r="E2272" i="1"/>
  <c r="F2272" i="1"/>
  <c r="C2077" i="1"/>
  <c r="D2077" i="1"/>
  <c r="E2077" i="1"/>
  <c r="F2077" i="1"/>
  <c r="C2316" i="1"/>
  <c r="D2316" i="1"/>
  <c r="E2316" i="1"/>
  <c r="F2316" i="1"/>
  <c r="C2268" i="1"/>
  <c r="D2268" i="1"/>
  <c r="E2268" i="1"/>
  <c r="F2268" i="1"/>
  <c r="C2283" i="1"/>
  <c r="D2283" i="1"/>
  <c r="E2283" i="1"/>
  <c r="F2283" i="1"/>
  <c r="C2227" i="1"/>
  <c r="D2227" i="1"/>
  <c r="E2227" i="1"/>
  <c r="F2227" i="1"/>
  <c r="C554" i="1"/>
  <c r="D554" i="1"/>
  <c r="E554" i="1"/>
  <c r="F554" i="1"/>
  <c r="C2136" i="1"/>
  <c r="D2136" i="1"/>
  <c r="E2136" i="1"/>
  <c r="F2136" i="1"/>
  <c r="C931" i="1"/>
  <c r="D931" i="1"/>
  <c r="E931" i="1"/>
  <c r="F931" i="1"/>
  <c r="C977" i="1"/>
  <c r="D977" i="1"/>
  <c r="E977" i="1"/>
  <c r="F977" i="1"/>
  <c r="C1157" i="1"/>
  <c r="D1157" i="1"/>
  <c r="E1157" i="1"/>
  <c r="F1157" i="1"/>
  <c r="C2271" i="1"/>
  <c r="D2271" i="1"/>
  <c r="E2271" i="1"/>
  <c r="F2271" i="1"/>
  <c r="C2068" i="1"/>
  <c r="D2068" i="1"/>
  <c r="E2068" i="1"/>
  <c r="F2068" i="1"/>
  <c r="C1284" i="1"/>
  <c r="D1284" i="1"/>
  <c r="E1284" i="1"/>
  <c r="F1284" i="1"/>
  <c r="C716" i="1"/>
  <c r="D716" i="1"/>
  <c r="E716" i="1"/>
  <c r="F716" i="1"/>
  <c r="C483" i="1"/>
  <c r="D483" i="1"/>
  <c r="E483" i="1"/>
  <c r="F483" i="1"/>
  <c r="C1040" i="1"/>
  <c r="D1040" i="1"/>
  <c r="E1040" i="1"/>
  <c r="F1040" i="1"/>
  <c r="C903" i="1"/>
  <c r="D903" i="1"/>
  <c r="E903" i="1"/>
  <c r="F903" i="1"/>
  <c r="C2226" i="1"/>
  <c r="D2226" i="1"/>
  <c r="E2226" i="1"/>
  <c r="F2226" i="1"/>
  <c r="C233" i="1"/>
  <c r="D233" i="1"/>
  <c r="E233" i="1"/>
  <c r="F233" i="1"/>
  <c r="C533" i="1"/>
  <c r="D533" i="1"/>
  <c r="E533" i="1"/>
  <c r="F533" i="1"/>
  <c r="C2205" i="1"/>
  <c r="D2205" i="1"/>
  <c r="E2205" i="1"/>
  <c r="F2205" i="1"/>
  <c r="C516" i="1"/>
  <c r="D516" i="1"/>
  <c r="E516" i="1"/>
  <c r="F516" i="1"/>
  <c r="C1074" i="1"/>
  <c r="D1074" i="1"/>
  <c r="E1074" i="1"/>
  <c r="F1074" i="1"/>
  <c r="C337" i="1"/>
  <c r="D337" i="1"/>
  <c r="E337" i="1"/>
  <c r="F337" i="1"/>
  <c r="C410" i="1"/>
  <c r="D410" i="1"/>
  <c r="E410" i="1"/>
  <c r="F410" i="1"/>
  <c r="C697" i="1"/>
  <c r="D697" i="1"/>
  <c r="E697" i="1"/>
  <c r="F697" i="1"/>
  <c r="C211" i="1"/>
  <c r="D211" i="1"/>
  <c r="E211" i="1"/>
  <c r="F211" i="1"/>
  <c r="C2267" i="1"/>
  <c r="D2267" i="1"/>
  <c r="E2267" i="1"/>
  <c r="F2267" i="1"/>
  <c r="C1362" i="1"/>
  <c r="D1362" i="1"/>
  <c r="E1362" i="1"/>
  <c r="F1362" i="1"/>
  <c r="C1593" i="1"/>
  <c r="D1593" i="1"/>
  <c r="E1593" i="1"/>
  <c r="F1593" i="1"/>
  <c r="C2259" i="1"/>
  <c r="D2259" i="1"/>
  <c r="E2259" i="1"/>
  <c r="F2259" i="1"/>
  <c r="C280" i="1"/>
  <c r="D280" i="1"/>
  <c r="E280" i="1"/>
  <c r="F280" i="1"/>
  <c r="C1494" i="1"/>
  <c r="D1494" i="1"/>
  <c r="E1494" i="1"/>
  <c r="F1494" i="1"/>
  <c r="C340" i="1"/>
  <c r="D340" i="1"/>
  <c r="E340" i="1"/>
  <c r="F340" i="1"/>
  <c r="C1259" i="1"/>
  <c r="D1259" i="1"/>
  <c r="E1259" i="1"/>
  <c r="F1259" i="1"/>
  <c r="C1550" i="1"/>
  <c r="D1550" i="1"/>
  <c r="E1550" i="1"/>
  <c r="F1550" i="1"/>
  <c r="C766" i="1"/>
  <c r="D766" i="1"/>
  <c r="E766" i="1"/>
  <c r="F766" i="1"/>
  <c r="C305" i="1"/>
  <c r="D305" i="1"/>
  <c r="E305" i="1"/>
  <c r="F305" i="1"/>
  <c r="C665" i="1"/>
  <c r="D665" i="1"/>
  <c r="E665" i="1"/>
  <c r="F665" i="1"/>
  <c r="C1314" i="1"/>
  <c r="D1314" i="1"/>
  <c r="E1314" i="1"/>
  <c r="F1314" i="1"/>
</calcChain>
</file>

<file path=xl/sharedStrings.xml><?xml version="1.0" encoding="utf-8"?>
<sst xmlns="http://schemas.openxmlformats.org/spreadsheetml/2006/main" count="25" uniqueCount="18">
  <si>
    <t xml:space="preserve">	=عدد"</t>
  </si>
  <si>
    <t>="بيرينگ 29324-B</t>
  </si>
  <si>
    <t>="اورينگ O-Ring(33) 228.19*3.53 Neoprene VS</t>
  </si>
  <si>
    <t>="اورينگ O-Ring(36) 202.79*3.53 Neoprene VS</t>
  </si>
  <si>
    <t>="اورينگ O-Ring(44) 266.29*3.53 Neoprene VS</t>
  </si>
  <si>
    <t>="اورينگ O-Ring(49) 164.77*2.62 Neoprene VS</t>
  </si>
  <si>
    <t>="اورينگ O-Ring(55) 329.79*3.53 Neoprene VS</t>
  </si>
  <si>
    <t>="اورينگ O-Ring(210) 189.87*6.99 Neoprene VS</t>
  </si>
  <si>
    <t>="شافت تفلون سفيد</t>
  </si>
  <si>
    <t>="ورق تفلون</t>
  </si>
  <si>
    <t>مبلغ</t>
  </si>
  <si>
    <t>مقدار مانده</t>
  </si>
  <si>
    <t>تاريخ</t>
  </si>
  <si>
    <t>طبقه</t>
  </si>
  <si>
    <t>انبار</t>
  </si>
  <si>
    <t>كدكالا</t>
  </si>
  <si>
    <t>نام كالا</t>
  </si>
  <si>
    <t>واحدسنجش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</si>
</sst>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B Mitra"/>
      <family val="2"/>
      <charset val="178"/>
    </font>
    <font>
      <sz val="11"/>
      <color theme="1"/>
      <name val="Tahoma"/>
      <family val="2"/>
    </font>
    <font>
      <b/>
      <sz val="12"/>
      <color rgb="FF0000FF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8"/>
  <sheetViews>
    <sheetView rightToLeft="1" tabSelected="1" workbookViewId="0">
      <selection activeCell="D9" sqref="D9"/>
    </sheetView>
  </sheetViews>
  <sheetFormatPr defaultRowHeight="14.25" x14ac:dyDescent="0.2"/>
  <cols>
    <col min="1" max="1" width="11.1640625" style="1" bestFit="1" customWidth="1"/>
    <col min="2" max="2" width="18.1640625" style="1" bestFit="1" customWidth="1"/>
    <col min="3" max="3" width="25.33203125" style="1" bestFit="1" customWidth="1"/>
    <col min="4" max="4" width="18.5" style="1" customWidth="1"/>
    <col min="5" max="5" width="56.6640625" style="1" customWidth="1"/>
    <col min="6" max="6" width="16.1640625" style="1" bestFit="1" customWidth="1"/>
    <col min="7" max="7" width="20.83203125" style="1" customWidth="1"/>
    <col min="8" max="8" width="17.5" style="6" bestFit="1" customWidth="1"/>
    <col min="9" max="16384" width="9.33203125" style="1"/>
  </cols>
  <sheetData>
    <row r="1" spans="1:8" ht="24.75" x14ac:dyDescent="0.2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11</v>
      </c>
      <c r="H1" s="4" t="s">
        <v>10</v>
      </c>
    </row>
    <row r="2" spans="1:8" ht="18.75" x14ac:dyDescent="0.2">
      <c r="A2" s="3" t="str">
        <f t="shared" ref="A2:A65" si="0">"98/11/26"</f>
        <v>98/11/26</v>
      </c>
      <c r="B2" s="3" t="str">
        <f t="shared" ref="B2:B65" si="1">"كالاهاي مصرفي"</f>
        <v>كالاهاي مصرفي</v>
      </c>
      <c r="C2" s="3" t="str">
        <f t="shared" ref="C2:C14" si="2">"انبار مصرفي ZU1"</f>
        <v>انبار مصرفي ZU1</v>
      </c>
      <c r="D2" s="3" t="str">
        <f>"0213000016"</f>
        <v>0213000016</v>
      </c>
      <c r="E2" s="3" t="str">
        <f>"پيچ شش گوش M6*20"</f>
        <v>پيچ شش گوش M6*20</v>
      </c>
      <c r="F2" s="3" t="str">
        <f>"عدد"</f>
        <v>عدد</v>
      </c>
      <c r="G2" s="3">
        <v>4</v>
      </c>
      <c r="H2" s="5">
        <v>4500</v>
      </c>
    </row>
    <row r="3" spans="1:8" ht="18.75" x14ac:dyDescent="0.2">
      <c r="A3" s="3" t="str">
        <f t="shared" si="0"/>
        <v>98/11/26</v>
      </c>
      <c r="B3" s="3" t="str">
        <f t="shared" si="1"/>
        <v>كالاهاي مصرفي</v>
      </c>
      <c r="C3" s="3" t="str">
        <f t="shared" si="2"/>
        <v>انبار مصرفي ZU1</v>
      </c>
      <c r="D3" s="3" t="str">
        <f>"0213000017"</f>
        <v>0213000017</v>
      </c>
      <c r="E3" s="3" t="str">
        <f>"پيچ شش گوش M8*16"</f>
        <v>پيچ شش گوش M8*16</v>
      </c>
      <c r="F3" s="3" t="str">
        <f>"عدد"</f>
        <v>عدد</v>
      </c>
      <c r="G3" s="3">
        <v>8</v>
      </c>
      <c r="H3" s="5">
        <v>6600</v>
      </c>
    </row>
    <row r="4" spans="1:8" ht="18.75" x14ac:dyDescent="0.2">
      <c r="A4" s="3" t="str">
        <f t="shared" si="0"/>
        <v>98/11/26</v>
      </c>
      <c r="B4" s="3" t="str">
        <f t="shared" si="1"/>
        <v>كالاهاي مصرفي</v>
      </c>
      <c r="C4" s="3" t="str">
        <f t="shared" si="2"/>
        <v>انبار مصرفي ZU1</v>
      </c>
      <c r="D4" s="3" t="str">
        <f>"0213000440"</f>
        <v>0213000440</v>
      </c>
      <c r="E4" s="3" t="str">
        <f>"واشر استنلس استيل M6"</f>
        <v>واشر استنلس استيل M6</v>
      </c>
      <c r="F4" s="3" t="str">
        <f>"عدد"</f>
        <v>عدد</v>
      </c>
      <c r="G4" s="3">
        <v>20</v>
      </c>
      <c r="H4" s="5">
        <v>9000</v>
      </c>
    </row>
    <row r="5" spans="1:8" ht="18.75" x14ac:dyDescent="0.2">
      <c r="A5" s="3" t="str">
        <f t="shared" si="0"/>
        <v>98/11/26</v>
      </c>
      <c r="B5" s="3" t="str">
        <f t="shared" si="1"/>
        <v>كالاهاي مصرفي</v>
      </c>
      <c r="C5" s="3" t="str">
        <f t="shared" si="2"/>
        <v>انبار مصرفي ZU1</v>
      </c>
      <c r="D5" s="3" t="str">
        <f>"0213000439"</f>
        <v>0213000439</v>
      </c>
      <c r="E5" s="3" t="str">
        <f>"واشر كربن استيل M6"</f>
        <v>واشر كربن استيل M6</v>
      </c>
      <c r="F5" s="3" t="str">
        <f>"عدد"</f>
        <v>عدد</v>
      </c>
      <c r="G5" s="3">
        <v>70</v>
      </c>
      <c r="H5" s="5">
        <v>11200</v>
      </c>
    </row>
    <row r="6" spans="1:8" ht="18.75" x14ac:dyDescent="0.2">
      <c r="A6" s="3" t="str">
        <f t="shared" si="0"/>
        <v>98/11/26</v>
      </c>
      <c r="B6" s="3" t="str">
        <f t="shared" si="1"/>
        <v>كالاهاي مصرفي</v>
      </c>
      <c r="C6" s="3" t="str">
        <f t="shared" si="2"/>
        <v>انبار مصرفي ZU1</v>
      </c>
      <c r="D6" s="3" t="str">
        <f>"0106000191"</f>
        <v>0106000191</v>
      </c>
      <c r="E6" s="3" t="str">
        <f>"گريس كاسپين 4/5 كيلويي"</f>
        <v>گريس كاسپين 4/5 كيلويي</v>
      </c>
      <c r="F6" s="3" t="str">
        <f>"قوطي"</f>
        <v>قوطي</v>
      </c>
      <c r="G6" s="3">
        <v>1</v>
      </c>
      <c r="H6" s="5">
        <v>13000</v>
      </c>
    </row>
    <row r="7" spans="1:8" ht="18.75" x14ac:dyDescent="0.2">
      <c r="A7" s="3" t="str">
        <f t="shared" si="0"/>
        <v>98/11/26</v>
      </c>
      <c r="B7" s="3" t="str">
        <f t="shared" si="1"/>
        <v>كالاهاي مصرفي</v>
      </c>
      <c r="C7" s="3" t="str">
        <f t="shared" si="2"/>
        <v>انبار مصرفي ZU1</v>
      </c>
      <c r="D7" s="3" t="str">
        <f>"0213000013"</f>
        <v>0213000013</v>
      </c>
      <c r="E7" s="3" t="str">
        <f>"پيچ شش گوش M12*50"</f>
        <v>پيچ شش گوش M12*50</v>
      </c>
      <c r="F7" s="3" t="str">
        <f t="shared" ref="F7:F15" si="3">"عدد"</f>
        <v>عدد</v>
      </c>
      <c r="G7" s="3">
        <v>3</v>
      </c>
      <c r="H7" s="5">
        <v>20250</v>
      </c>
    </row>
    <row r="8" spans="1:8" ht="18.75" x14ac:dyDescent="0.2">
      <c r="A8" s="3" t="str">
        <f t="shared" si="0"/>
        <v>98/11/26</v>
      </c>
      <c r="B8" s="3" t="str">
        <f t="shared" si="1"/>
        <v>كالاهاي مصرفي</v>
      </c>
      <c r="C8" s="3" t="str">
        <f t="shared" si="2"/>
        <v>انبار مصرفي ZU1</v>
      </c>
      <c r="D8" s="3" t="str">
        <f>"0213000082"</f>
        <v>0213000082</v>
      </c>
      <c r="E8" s="3" t="str">
        <f>"واشر فنري M14"</f>
        <v>واشر فنري M14</v>
      </c>
      <c r="F8" s="3" t="str">
        <f t="shared" si="3"/>
        <v>عدد</v>
      </c>
      <c r="G8" s="3">
        <v>26</v>
      </c>
      <c r="H8" s="5">
        <v>25350</v>
      </c>
    </row>
    <row r="9" spans="1:8" ht="18.75" x14ac:dyDescent="0.2">
      <c r="A9" s="3" t="str">
        <f t="shared" si="0"/>
        <v>98/11/26</v>
      </c>
      <c r="B9" s="3" t="str">
        <f t="shared" si="1"/>
        <v>كالاهاي مصرفي</v>
      </c>
      <c r="C9" s="3" t="str">
        <f t="shared" si="2"/>
        <v>انبار مصرفي ZU1</v>
      </c>
      <c r="D9" s="3" t="str">
        <f>"0213000024"</f>
        <v>0213000024</v>
      </c>
      <c r="E9" s="3" t="str">
        <f>"پيچ M16*50"</f>
        <v>پيچ M16*50</v>
      </c>
      <c r="F9" s="3" t="str">
        <f t="shared" si="3"/>
        <v>عدد</v>
      </c>
      <c r="G9" s="3">
        <v>3</v>
      </c>
      <c r="H9" s="5">
        <v>25919</v>
      </c>
    </row>
    <row r="10" spans="1:8" ht="18.75" x14ac:dyDescent="0.2">
      <c r="A10" s="3" t="str">
        <f t="shared" si="0"/>
        <v>98/11/26</v>
      </c>
      <c r="B10" s="3" t="str">
        <f t="shared" si="1"/>
        <v>كالاهاي مصرفي</v>
      </c>
      <c r="C10" s="3" t="str">
        <f t="shared" si="2"/>
        <v>انبار مصرفي ZU1</v>
      </c>
      <c r="D10" s="3" t="str">
        <f>"0213000441"</f>
        <v>0213000441</v>
      </c>
      <c r="E10" s="3" t="str">
        <f>"واشر كربن استيل M8"</f>
        <v>واشر كربن استيل M8</v>
      </c>
      <c r="F10" s="3" t="str">
        <f t="shared" si="3"/>
        <v>عدد</v>
      </c>
      <c r="G10" s="3">
        <v>130</v>
      </c>
      <c r="H10" s="5">
        <v>29900</v>
      </c>
    </row>
    <row r="11" spans="1:8" ht="18.75" x14ac:dyDescent="0.2">
      <c r="A11" s="3" t="str">
        <f t="shared" si="0"/>
        <v>98/11/26</v>
      </c>
      <c r="B11" s="3" t="str">
        <f t="shared" si="1"/>
        <v>كالاهاي مصرفي</v>
      </c>
      <c r="C11" s="3" t="str">
        <f t="shared" si="2"/>
        <v>انبار مصرفي ZU1</v>
      </c>
      <c r="D11" s="3" t="str">
        <f>"0213000400"</f>
        <v>0213000400</v>
      </c>
      <c r="E11" s="3" t="str">
        <f>"پيچ يك سر رزوه كربن استيل M16*35"</f>
        <v>پيچ يك سر رزوه كربن استيل M16*35</v>
      </c>
      <c r="F11" s="3" t="str">
        <f t="shared" si="3"/>
        <v>عدد</v>
      </c>
      <c r="G11" s="3">
        <v>4</v>
      </c>
      <c r="H11" s="5">
        <v>34568</v>
      </c>
    </row>
    <row r="12" spans="1:8" ht="18.75" x14ac:dyDescent="0.2">
      <c r="A12" s="3" t="str">
        <f t="shared" si="0"/>
        <v>98/11/26</v>
      </c>
      <c r="B12" s="3" t="str">
        <f t="shared" si="1"/>
        <v>كالاهاي مصرفي</v>
      </c>
      <c r="C12" s="3" t="str">
        <f t="shared" si="2"/>
        <v>انبار مصرفي ZU1</v>
      </c>
      <c r="D12" s="3" t="str">
        <f>"0211000306"</f>
        <v>0211000306</v>
      </c>
      <c r="E12" s="3" t="str">
        <f>"لامپ 12 وات 60A"</f>
        <v>لامپ 12 وات 60A</v>
      </c>
      <c r="F12" s="3" t="str">
        <f t="shared" si="3"/>
        <v>عدد</v>
      </c>
      <c r="G12" s="3">
        <v>1</v>
      </c>
      <c r="H12" s="5">
        <v>35000</v>
      </c>
    </row>
    <row r="13" spans="1:8" ht="18.75" x14ac:dyDescent="0.2">
      <c r="A13" s="3" t="str">
        <f t="shared" si="0"/>
        <v>98/11/26</v>
      </c>
      <c r="B13" s="3" t="str">
        <f t="shared" si="1"/>
        <v>كالاهاي مصرفي</v>
      </c>
      <c r="C13" s="3" t="str">
        <f t="shared" si="2"/>
        <v>انبار مصرفي ZU1</v>
      </c>
      <c r="D13" s="3" t="str">
        <f>"0204000277"</f>
        <v>0204000277</v>
      </c>
      <c r="E13" s="3" t="str">
        <f>"واشر لاستيكي 180- 3 ميل"</f>
        <v>واشر لاستيكي 180- 3 ميل</v>
      </c>
      <c r="F13" s="3" t="str">
        <f t="shared" si="3"/>
        <v>عدد</v>
      </c>
      <c r="G13" s="3">
        <v>1</v>
      </c>
      <c r="H13" s="5">
        <v>37000</v>
      </c>
    </row>
    <row r="14" spans="1:8" ht="18.75" x14ac:dyDescent="0.2">
      <c r="A14" s="3" t="str">
        <f t="shared" si="0"/>
        <v>98/11/26</v>
      </c>
      <c r="B14" s="3" t="str">
        <f t="shared" si="1"/>
        <v>كالاهاي مصرفي</v>
      </c>
      <c r="C14" s="3" t="str">
        <f t="shared" si="2"/>
        <v>انبار مصرفي ZU1</v>
      </c>
      <c r="D14" s="3" t="str">
        <f>"0213000459"</f>
        <v>0213000459</v>
      </c>
      <c r="E14" s="3" t="str">
        <f>"مهره كربن استيل M6"</f>
        <v>مهره كربن استيل M6</v>
      </c>
      <c r="F14" s="3" t="str">
        <f t="shared" si="3"/>
        <v>عدد</v>
      </c>
      <c r="G14" s="3">
        <v>150</v>
      </c>
      <c r="H14" s="5">
        <v>39000</v>
      </c>
    </row>
    <row r="15" spans="1:8" ht="18.75" x14ac:dyDescent="0.2">
      <c r="A15" s="3" t="str">
        <f t="shared" si="0"/>
        <v>98/11/26</v>
      </c>
      <c r="B15" s="3" t="str">
        <f t="shared" si="1"/>
        <v>كالاهاي مصرفي</v>
      </c>
      <c r="C15" s="3" t="str">
        <f>"انبار مركزي ( عمومي )"</f>
        <v>انبار مركزي ( عمومي )</v>
      </c>
      <c r="D15" s="3" t="str">
        <f>"0203000128"</f>
        <v>0203000128</v>
      </c>
      <c r="E15" s="3" t="str">
        <f>"مته الماسه معمولي نمره 4"</f>
        <v>مته الماسه معمولي نمره 4</v>
      </c>
      <c r="F15" s="3" t="str">
        <f t="shared" si="3"/>
        <v>عدد</v>
      </c>
      <c r="G15" s="3">
        <v>1</v>
      </c>
      <c r="H15" s="5">
        <v>39183</v>
      </c>
    </row>
    <row r="16" spans="1:8" ht="18.75" x14ac:dyDescent="0.2">
      <c r="A16" s="3" t="str">
        <f t="shared" si="0"/>
        <v>98/11/26</v>
      </c>
      <c r="B16" s="3" t="str">
        <f t="shared" si="1"/>
        <v>كالاهاي مصرفي</v>
      </c>
      <c r="C16" s="3" t="str">
        <f>"انبار مركزي ( عمومي )"</f>
        <v>انبار مركزي ( عمومي )</v>
      </c>
      <c r="D16" s="3" t="str">
        <f>"0206000609"</f>
        <v>0206000609</v>
      </c>
      <c r="E16" s="3" t="str">
        <f>"بست كمربندي پلاستيكي 15 سانتي"</f>
        <v>بست كمربندي پلاستيكي 15 سانتي</v>
      </c>
      <c r="F16" s="3" t="str">
        <f>"بسته"</f>
        <v>بسته</v>
      </c>
      <c r="G16" s="3">
        <v>1</v>
      </c>
      <c r="H16" s="5">
        <v>43000</v>
      </c>
    </row>
    <row r="17" spans="1:8" ht="18.75" x14ac:dyDescent="0.2">
      <c r="A17" s="3" t="str">
        <f t="shared" si="0"/>
        <v>98/11/26</v>
      </c>
      <c r="B17" s="3" t="str">
        <f t="shared" si="1"/>
        <v>كالاهاي مصرفي</v>
      </c>
      <c r="C17" s="3" t="str">
        <f t="shared" ref="C17:C32" si="4">"انبار مصرفي ZU1"</f>
        <v>انبار مصرفي ZU1</v>
      </c>
      <c r="D17" s="3" t="str">
        <f>"0213000090"</f>
        <v>0213000090</v>
      </c>
      <c r="E17" s="3" t="str">
        <f>"واشر فنري M30"</f>
        <v>واشر فنري M30</v>
      </c>
      <c r="F17" s="3" t="str">
        <f>"عدد"</f>
        <v>عدد</v>
      </c>
      <c r="G17" s="3">
        <v>6</v>
      </c>
      <c r="H17" s="5">
        <v>48600</v>
      </c>
    </row>
    <row r="18" spans="1:8" ht="18.75" x14ac:dyDescent="0.2">
      <c r="A18" s="3" t="str">
        <f t="shared" si="0"/>
        <v>98/11/26</v>
      </c>
      <c r="B18" s="3" t="str">
        <f t="shared" si="1"/>
        <v>كالاهاي مصرفي</v>
      </c>
      <c r="C18" s="3" t="str">
        <f t="shared" si="4"/>
        <v>انبار مصرفي ZU1</v>
      </c>
      <c r="D18" s="3" t="str">
        <f>"0204000278"</f>
        <v>0204000278</v>
      </c>
      <c r="E18" s="3" t="str">
        <f>"واشر لاستيكي 250- 3 ميل"</f>
        <v>واشر لاستيكي 250- 3 ميل</v>
      </c>
      <c r="F18" s="3" t="str">
        <f>"عدد"</f>
        <v>عدد</v>
      </c>
      <c r="G18" s="3">
        <v>1</v>
      </c>
      <c r="H18" s="5">
        <v>50000</v>
      </c>
    </row>
    <row r="19" spans="1:8" ht="18.75" x14ac:dyDescent="0.2">
      <c r="A19" s="3" t="str">
        <f t="shared" si="0"/>
        <v>98/11/26</v>
      </c>
      <c r="B19" s="3" t="str">
        <f t="shared" si="1"/>
        <v>كالاهاي مصرفي</v>
      </c>
      <c r="C19" s="3" t="str">
        <f t="shared" si="4"/>
        <v>انبار مصرفي ZU1</v>
      </c>
      <c r="D19" s="3" t="str">
        <f>"0204000279"</f>
        <v>0204000279</v>
      </c>
      <c r="E19" s="3" t="str">
        <f>"واشر لاستيكي 125 - 3 ميل"</f>
        <v>واشر لاستيكي 125 - 3 ميل</v>
      </c>
      <c r="F19" s="3" t="str">
        <f>"عدد"</f>
        <v>عدد</v>
      </c>
      <c r="G19" s="3">
        <v>1</v>
      </c>
      <c r="H19" s="5">
        <v>50000</v>
      </c>
    </row>
    <row r="20" spans="1:8" ht="18.75" x14ac:dyDescent="0.2">
      <c r="A20" s="3" t="str">
        <f t="shared" si="0"/>
        <v>98/11/26</v>
      </c>
      <c r="B20" s="3" t="str">
        <f t="shared" si="1"/>
        <v>كالاهاي مصرفي</v>
      </c>
      <c r="C20" s="3" t="str">
        <f t="shared" si="4"/>
        <v>انبار مصرفي ZU1</v>
      </c>
      <c r="D20" s="3" t="str">
        <f>"0204000871"</f>
        <v>0204000871</v>
      </c>
      <c r="E20" s="3" t="str">
        <f>"خار چشمي DIN472 M10 داخلي"</f>
        <v>خار چشمي DIN472 M10 داخلي</v>
      </c>
      <c r="F20" s="3" t="str">
        <f>"عدد"</f>
        <v>عدد</v>
      </c>
      <c r="G20" s="3">
        <v>40</v>
      </c>
      <c r="H20" s="5">
        <v>53500</v>
      </c>
    </row>
    <row r="21" spans="1:8" ht="18.75" x14ac:dyDescent="0.2">
      <c r="A21" s="3" t="str">
        <f t="shared" si="0"/>
        <v>98/11/26</v>
      </c>
      <c r="B21" s="3" t="str">
        <f t="shared" si="1"/>
        <v>كالاهاي مصرفي</v>
      </c>
      <c r="C21" s="3" t="str">
        <f t="shared" si="4"/>
        <v>انبار مصرفي ZU1</v>
      </c>
      <c r="D21" s="3" t="str">
        <f>"0204000877"</f>
        <v>0204000877</v>
      </c>
      <c r="E21" s="3" t="str">
        <f>"خار چشمي DIN472 M16 داخلي"</f>
        <v>خار چشمي DIN472 M16 داخلي</v>
      </c>
      <c r="F21" s="3" t="str">
        <f>"عدد"</f>
        <v>عدد</v>
      </c>
      <c r="G21" s="3">
        <v>30</v>
      </c>
      <c r="H21" s="5">
        <v>59175</v>
      </c>
    </row>
    <row r="22" spans="1:8" ht="18.75" x14ac:dyDescent="0.2">
      <c r="A22" s="3" t="str">
        <f t="shared" si="0"/>
        <v>98/11/26</v>
      </c>
      <c r="B22" s="3" t="str">
        <f t="shared" si="1"/>
        <v>كالاهاي مصرفي</v>
      </c>
      <c r="C22" s="3" t="str">
        <f t="shared" si="4"/>
        <v>انبار مصرفي ZU1</v>
      </c>
      <c r="D22" s="3" t="str">
        <f>"0106000190"</f>
        <v>0106000190</v>
      </c>
      <c r="E22" s="3" t="str">
        <f>"روغن لحيم كاري"</f>
        <v>روغن لحيم كاري</v>
      </c>
      <c r="F22" s="3" t="str">
        <f>"قوطي"</f>
        <v>قوطي</v>
      </c>
      <c r="G22" s="3">
        <v>4</v>
      </c>
      <c r="H22" s="5">
        <v>60000</v>
      </c>
    </row>
    <row r="23" spans="1:8" ht="18.75" x14ac:dyDescent="0.2">
      <c r="A23" s="3" t="str">
        <f t="shared" si="0"/>
        <v>98/11/26</v>
      </c>
      <c r="B23" s="3" t="str">
        <f t="shared" si="1"/>
        <v>كالاهاي مصرفي</v>
      </c>
      <c r="C23" s="3" t="str">
        <f t="shared" si="4"/>
        <v>انبار مصرفي ZU1</v>
      </c>
      <c r="D23" s="3" t="str">
        <f>"0204001410"</f>
        <v>0204001410</v>
      </c>
      <c r="E23" s="3" t="str">
        <f>"فيبر وفنر 22mm"</f>
        <v>فيبر وفنر 22mm</v>
      </c>
      <c r="F23" s="3" t="str">
        <f t="shared" ref="F23:F36" si="5">"عدد"</f>
        <v>عدد</v>
      </c>
      <c r="G23" s="3">
        <v>1</v>
      </c>
      <c r="H23" s="5">
        <v>68000</v>
      </c>
    </row>
    <row r="24" spans="1:8" ht="18.75" x14ac:dyDescent="0.2">
      <c r="A24" s="3" t="str">
        <f t="shared" si="0"/>
        <v>98/11/26</v>
      </c>
      <c r="B24" s="3" t="str">
        <f t="shared" si="1"/>
        <v>كالاهاي مصرفي</v>
      </c>
      <c r="C24" s="3" t="str">
        <f t="shared" si="4"/>
        <v>انبار مصرفي ZU1</v>
      </c>
      <c r="D24" s="3" t="str">
        <f>"0213000391"</f>
        <v>0213000391</v>
      </c>
      <c r="E24" s="3" t="str">
        <f>"پيچ يك سر رزوه استنلس استيل M12*40"</f>
        <v>پيچ يك سر رزوه استنلس استيل M12*40</v>
      </c>
      <c r="F24" s="3" t="str">
        <f t="shared" si="5"/>
        <v>عدد</v>
      </c>
      <c r="G24" s="3">
        <v>4</v>
      </c>
      <c r="H24" s="5">
        <v>69460</v>
      </c>
    </row>
    <row r="25" spans="1:8" ht="18.75" x14ac:dyDescent="0.2">
      <c r="A25" s="3" t="str">
        <f t="shared" si="0"/>
        <v>98/11/26</v>
      </c>
      <c r="B25" s="3" t="str">
        <f t="shared" si="1"/>
        <v>كالاهاي مصرفي</v>
      </c>
      <c r="C25" s="3" t="str">
        <f t="shared" si="4"/>
        <v>انبار مصرفي ZU1</v>
      </c>
      <c r="D25" s="3" t="str">
        <f>"0213000785"</f>
        <v>0213000785</v>
      </c>
      <c r="E25" s="3" t="str">
        <f>"پيچ و مهره  با واشر 60 * 16"</f>
        <v>پيچ و مهره  با واشر 60 * 16</v>
      </c>
      <c r="F25" s="3" t="str">
        <f t="shared" si="5"/>
        <v>عدد</v>
      </c>
      <c r="G25" s="3">
        <v>9</v>
      </c>
      <c r="H25" s="5">
        <v>70435</v>
      </c>
    </row>
    <row r="26" spans="1:8" ht="18.75" x14ac:dyDescent="0.2">
      <c r="A26" s="3" t="str">
        <f t="shared" si="0"/>
        <v>98/11/26</v>
      </c>
      <c r="B26" s="3" t="str">
        <f t="shared" si="1"/>
        <v>كالاهاي مصرفي</v>
      </c>
      <c r="C26" s="3" t="str">
        <f t="shared" si="4"/>
        <v>انبار مصرفي ZU1</v>
      </c>
      <c r="D26" s="3" t="str">
        <f>"0204001294"</f>
        <v>0204001294</v>
      </c>
      <c r="E26" s="3" t="str">
        <f>"کاسه نمد 7*35*18"</f>
        <v>کاسه نمد 7*35*18</v>
      </c>
      <c r="F26" s="3" t="str">
        <f t="shared" si="5"/>
        <v>عدد</v>
      </c>
      <c r="G26" s="3">
        <v>3</v>
      </c>
      <c r="H26" s="5">
        <v>72000</v>
      </c>
    </row>
    <row r="27" spans="1:8" ht="18.75" x14ac:dyDescent="0.2">
      <c r="A27" s="3" t="str">
        <f t="shared" si="0"/>
        <v>98/11/26</v>
      </c>
      <c r="B27" s="3" t="str">
        <f t="shared" si="1"/>
        <v>كالاهاي مصرفي</v>
      </c>
      <c r="C27" s="3" t="str">
        <f t="shared" si="4"/>
        <v>انبار مصرفي ZU1</v>
      </c>
      <c r="D27" s="3" t="str">
        <f>"0204000874"</f>
        <v>0204000874</v>
      </c>
      <c r="E27" s="3" t="str">
        <f>"خار چشمي DIN471 M14 خارجي"</f>
        <v>خار چشمي DIN471 M14 خارجي</v>
      </c>
      <c r="F27" s="3" t="str">
        <f t="shared" si="5"/>
        <v>عدد</v>
      </c>
      <c r="G27" s="3">
        <v>39</v>
      </c>
      <c r="H27" s="5">
        <v>75602</v>
      </c>
    </row>
    <row r="28" spans="1:8" ht="18.75" x14ac:dyDescent="0.2">
      <c r="A28" s="3" t="str">
        <f t="shared" si="0"/>
        <v>98/11/26</v>
      </c>
      <c r="B28" s="3" t="str">
        <f t="shared" si="1"/>
        <v>كالاهاي مصرفي</v>
      </c>
      <c r="C28" s="3" t="str">
        <f t="shared" si="4"/>
        <v>انبار مصرفي ZU1</v>
      </c>
      <c r="D28" s="3" t="str">
        <f>"0204000875"</f>
        <v>0204000875</v>
      </c>
      <c r="E28" s="3" t="str">
        <f>"خار چشمي DIN472 M14 داخلي"</f>
        <v>خار چشمي DIN472 M14 داخلي</v>
      </c>
      <c r="F28" s="3" t="str">
        <f t="shared" si="5"/>
        <v>عدد</v>
      </c>
      <c r="G28" s="3">
        <v>39</v>
      </c>
      <c r="H28" s="5">
        <v>75602</v>
      </c>
    </row>
    <row r="29" spans="1:8" ht="18.75" x14ac:dyDescent="0.2">
      <c r="A29" s="3" t="str">
        <f t="shared" si="0"/>
        <v>98/11/26</v>
      </c>
      <c r="B29" s="3" t="str">
        <f t="shared" si="1"/>
        <v>كالاهاي مصرفي</v>
      </c>
      <c r="C29" s="3" t="str">
        <f t="shared" si="4"/>
        <v>انبار مصرفي ZU1</v>
      </c>
      <c r="D29" s="3" t="str">
        <f>"0204000174"</f>
        <v>0204000174</v>
      </c>
      <c r="E29" s="3" t="str">
        <f>"كاسه نمد"</f>
        <v>كاسه نمد</v>
      </c>
      <c r="F29" s="3" t="str">
        <f t="shared" si="5"/>
        <v>عدد</v>
      </c>
      <c r="G29" s="3">
        <v>2</v>
      </c>
      <c r="H29" s="5">
        <v>86961</v>
      </c>
    </row>
    <row r="30" spans="1:8" ht="18.75" x14ac:dyDescent="0.2">
      <c r="A30" s="3" t="str">
        <f t="shared" si="0"/>
        <v>98/11/26</v>
      </c>
      <c r="B30" s="3" t="str">
        <f t="shared" si="1"/>
        <v>كالاهاي مصرفي</v>
      </c>
      <c r="C30" s="3" t="str">
        <f t="shared" si="4"/>
        <v>انبار مصرفي ZU1</v>
      </c>
      <c r="D30" s="3" t="str">
        <f>"0213000632"</f>
        <v>0213000632</v>
      </c>
      <c r="E30" s="3" t="str">
        <f>"كاردك"</f>
        <v>كاردك</v>
      </c>
      <c r="F30" s="3" t="str">
        <f t="shared" si="5"/>
        <v>عدد</v>
      </c>
      <c r="G30" s="3">
        <v>4</v>
      </c>
      <c r="H30" s="5">
        <v>88552</v>
      </c>
    </row>
    <row r="31" spans="1:8" ht="18.75" x14ac:dyDescent="0.2">
      <c r="A31" s="3" t="str">
        <f t="shared" si="0"/>
        <v>98/11/26</v>
      </c>
      <c r="B31" s="3" t="str">
        <f t="shared" si="1"/>
        <v>كالاهاي مصرفي</v>
      </c>
      <c r="C31" s="3" t="str">
        <f t="shared" si="4"/>
        <v>انبار مصرفي ZU1</v>
      </c>
      <c r="D31" s="3" t="str">
        <f>"0213000087"</f>
        <v>0213000087</v>
      </c>
      <c r="E31" s="3" t="str">
        <f>"واشر فنري M24"</f>
        <v>واشر فنري M24</v>
      </c>
      <c r="F31" s="3" t="str">
        <f t="shared" si="5"/>
        <v>عدد</v>
      </c>
      <c r="G31" s="3">
        <v>26</v>
      </c>
      <c r="H31" s="5">
        <v>91650</v>
      </c>
    </row>
    <row r="32" spans="1:8" ht="18.75" x14ac:dyDescent="0.2">
      <c r="A32" s="3" t="str">
        <f t="shared" si="0"/>
        <v>98/11/26</v>
      </c>
      <c r="B32" s="3" t="str">
        <f t="shared" si="1"/>
        <v>كالاهاي مصرفي</v>
      </c>
      <c r="C32" s="3" t="str">
        <f t="shared" si="4"/>
        <v>انبار مصرفي ZU1</v>
      </c>
      <c r="D32" s="3" t="str">
        <f>"0204001825"</f>
        <v>0204001825</v>
      </c>
      <c r="E32" s="3" t="str">
        <f>"كاسه نمد 35*62*7"</f>
        <v>كاسه نمد 35*62*7</v>
      </c>
      <c r="F32" s="3" t="str">
        <f t="shared" si="5"/>
        <v>عدد</v>
      </c>
      <c r="G32" s="3">
        <v>2</v>
      </c>
      <c r="H32" s="5">
        <v>92000</v>
      </c>
    </row>
    <row r="33" spans="1:8" ht="18.75" x14ac:dyDescent="0.2">
      <c r="A33" s="3" t="str">
        <f t="shared" si="0"/>
        <v>98/11/26</v>
      </c>
      <c r="B33" s="3" t="str">
        <f t="shared" si="1"/>
        <v>كالاهاي مصرفي</v>
      </c>
      <c r="C33" s="3" t="str">
        <f>"انبار مركزي ( عمومي )"</f>
        <v>انبار مركزي ( عمومي )</v>
      </c>
      <c r="D33" s="3" t="str">
        <f>"0601000051"</f>
        <v>0601000051</v>
      </c>
      <c r="E33" s="3" t="str">
        <f>"گوشي صداگير  GSP"</f>
        <v>گوشي صداگير  GSP</v>
      </c>
      <c r="F33" s="3" t="str">
        <f t="shared" si="5"/>
        <v>عدد</v>
      </c>
      <c r="G33" s="3">
        <v>1</v>
      </c>
      <c r="H33" s="5">
        <v>96020</v>
      </c>
    </row>
    <row r="34" spans="1:8" ht="18.75" x14ac:dyDescent="0.2">
      <c r="A34" s="3" t="str">
        <f t="shared" si="0"/>
        <v>98/11/26</v>
      </c>
      <c r="B34" s="3" t="str">
        <f t="shared" si="1"/>
        <v>كالاهاي مصرفي</v>
      </c>
      <c r="C34" s="3" t="str">
        <f>"انبار مصرفي ZU1"</f>
        <v>انبار مصرفي ZU1</v>
      </c>
      <c r="D34" s="3" t="str">
        <f>"0204000879"</f>
        <v>0204000879</v>
      </c>
      <c r="E34" s="3" t="str">
        <f>"خار چشمي DIN472 M18 داخلي"</f>
        <v>خار چشمي DIN472 M18 داخلي</v>
      </c>
      <c r="F34" s="3" t="str">
        <f t="shared" si="5"/>
        <v>عدد</v>
      </c>
      <c r="G34" s="3">
        <v>40</v>
      </c>
      <c r="H34" s="5">
        <v>97000</v>
      </c>
    </row>
    <row r="35" spans="1:8" ht="18.75" x14ac:dyDescent="0.2">
      <c r="A35" s="3" t="str">
        <f t="shared" si="0"/>
        <v>98/11/26</v>
      </c>
      <c r="B35" s="3" t="str">
        <f t="shared" si="1"/>
        <v>كالاهاي مصرفي</v>
      </c>
      <c r="C35" s="3" t="str">
        <f>"انبار مصرفي ZU1"</f>
        <v>انبار مصرفي ZU1</v>
      </c>
      <c r="D35" s="3" t="str">
        <f>"0204000881"</f>
        <v>0204000881</v>
      </c>
      <c r="E35" s="3" t="str">
        <f>"خار چشمي DIN472 M20 داخلي"</f>
        <v>خار چشمي DIN472 M20 داخلي</v>
      </c>
      <c r="F35" s="3" t="str">
        <f t="shared" si="5"/>
        <v>عدد</v>
      </c>
      <c r="G35" s="3">
        <v>40</v>
      </c>
      <c r="H35" s="5">
        <v>99700</v>
      </c>
    </row>
    <row r="36" spans="1:8" ht="18.75" x14ac:dyDescent="0.2">
      <c r="A36" s="3" t="str">
        <f t="shared" si="0"/>
        <v>98/11/26</v>
      </c>
      <c r="B36" s="3" t="str">
        <f t="shared" si="1"/>
        <v>كالاهاي مصرفي</v>
      </c>
      <c r="C36" s="3" t="str">
        <f>"انبار مصرفي ZU1"</f>
        <v>انبار مصرفي ZU1</v>
      </c>
      <c r="D36" s="3" t="str">
        <f>"0204001299"</f>
        <v>0204001299</v>
      </c>
      <c r="E36" s="3" t="str">
        <f>"کاسه نمد 7*80*55"</f>
        <v>کاسه نمد 7*80*55</v>
      </c>
      <c r="F36" s="3" t="str">
        <f t="shared" si="5"/>
        <v>عدد</v>
      </c>
      <c r="G36" s="3">
        <v>2</v>
      </c>
      <c r="H36" s="5">
        <v>100000</v>
      </c>
    </row>
    <row r="37" spans="1:8" ht="18.75" x14ac:dyDescent="0.2">
      <c r="A37" s="3" t="str">
        <f t="shared" si="0"/>
        <v>98/11/26</v>
      </c>
      <c r="B37" s="3" t="str">
        <f t="shared" si="1"/>
        <v>كالاهاي مصرفي</v>
      </c>
      <c r="C37" s="3" t="str">
        <f>"انبار مركزي ( عمومي )"</f>
        <v>انبار مركزي ( عمومي )</v>
      </c>
      <c r="D37" s="3" t="str">
        <f>"0211000865"</f>
        <v>0211000865</v>
      </c>
      <c r="E37" s="3" t="str">
        <f>"دستمال تنظيف نانو"</f>
        <v>دستمال تنظيف نانو</v>
      </c>
      <c r="F37" s="3" t="str">
        <f>"بسته"</f>
        <v>بسته</v>
      </c>
      <c r="G37" s="3">
        <v>1</v>
      </c>
      <c r="H37" s="5">
        <v>100000</v>
      </c>
    </row>
    <row r="38" spans="1:8" ht="18.75" x14ac:dyDescent="0.2">
      <c r="A38" s="3" t="str">
        <f t="shared" si="0"/>
        <v>98/11/26</v>
      </c>
      <c r="B38" s="3" t="str">
        <f t="shared" si="1"/>
        <v>كالاهاي مصرفي</v>
      </c>
      <c r="C38" s="3" t="str">
        <f t="shared" ref="C38:C47" si="6">"انبار مصرفي ZU1"</f>
        <v>انبار مصرفي ZU1</v>
      </c>
      <c r="D38" s="3" t="str">
        <f>"0211001661"</f>
        <v>0211001661</v>
      </c>
      <c r="E38" s="3" t="str">
        <f>"باطري نيم قلمي قابل شارژ (AAA )"</f>
        <v>باطري نيم قلمي قابل شارژ (AAA )</v>
      </c>
      <c r="F38" s="3" t="str">
        <f t="shared" ref="F38:F47" si="7">"عدد"</f>
        <v>عدد</v>
      </c>
      <c r="G38" s="3">
        <v>1</v>
      </c>
      <c r="H38" s="5">
        <v>101975</v>
      </c>
    </row>
    <row r="39" spans="1:8" ht="18.75" x14ac:dyDescent="0.2">
      <c r="A39" s="3" t="str">
        <f t="shared" si="0"/>
        <v>98/11/26</v>
      </c>
      <c r="B39" s="3" t="str">
        <f t="shared" si="1"/>
        <v>كالاهاي مصرفي</v>
      </c>
      <c r="C39" s="3" t="str">
        <f t="shared" si="6"/>
        <v>انبار مصرفي ZU1</v>
      </c>
      <c r="D39" s="3" t="str">
        <f>"0213001010"</f>
        <v>0213001010</v>
      </c>
      <c r="E39" s="3" t="str">
        <f>"واشر استنلس استيل M5"</f>
        <v>واشر استنلس استيل M5</v>
      </c>
      <c r="F39" s="3" t="str">
        <f t="shared" si="7"/>
        <v>عدد</v>
      </c>
      <c r="G39" s="3">
        <v>510</v>
      </c>
      <c r="H39" s="5">
        <v>102000</v>
      </c>
    </row>
    <row r="40" spans="1:8" ht="18.75" x14ac:dyDescent="0.2">
      <c r="A40" s="3" t="str">
        <f t="shared" si="0"/>
        <v>98/11/26</v>
      </c>
      <c r="B40" s="3" t="str">
        <f t="shared" si="1"/>
        <v>كالاهاي مصرفي</v>
      </c>
      <c r="C40" s="3" t="str">
        <f t="shared" si="6"/>
        <v>انبار مصرفي ZU1</v>
      </c>
      <c r="D40" s="3" t="str">
        <f>"0213000930"</f>
        <v>0213000930</v>
      </c>
      <c r="E40" s="3" t="str">
        <f>"پيچ  M6*20"</f>
        <v>پيچ  M6*20</v>
      </c>
      <c r="F40" s="3" t="str">
        <f t="shared" si="7"/>
        <v>عدد</v>
      </c>
      <c r="G40" s="3">
        <v>210</v>
      </c>
      <c r="H40" s="5">
        <v>107100</v>
      </c>
    </row>
    <row r="41" spans="1:8" ht="18.75" x14ac:dyDescent="0.2">
      <c r="A41" s="3" t="str">
        <f t="shared" si="0"/>
        <v>98/11/26</v>
      </c>
      <c r="B41" s="3" t="str">
        <f t="shared" si="1"/>
        <v>كالاهاي مصرفي</v>
      </c>
      <c r="C41" s="3" t="str">
        <f t="shared" si="6"/>
        <v>انبار مصرفي ZU1</v>
      </c>
      <c r="D41" s="3" t="str">
        <f>"0204000898"</f>
        <v>0204000898</v>
      </c>
      <c r="E41" s="3" t="str">
        <f>"خار چشمي DIN471 M37 خارجي"</f>
        <v>خار چشمي DIN471 M37 خارجي</v>
      </c>
      <c r="F41" s="3" t="str">
        <f t="shared" si="7"/>
        <v>عدد</v>
      </c>
      <c r="G41" s="3">
        <v>20</v>
      </c>
      <c r="H41" s="5">
        <v>108000</v>
      </c>
    </row>
    <row r="42" spans="1:8" ht="18.75" x14ac:dyDescent="0.2">
      <c r="A42" s="3" t="str">
        <f t="shared" si="0"/>
        <v>98/11/26</v>
      </c>
      <c r="B42" s="3" t="str">
        <f t="shared" si="1"/>
        <v>كالاهاي مصرفي</v>
      </c>
      <c r="C42" s="3" t="str">
        <f t="shared" si="6"/>
        <v>انبار مصرفي ZU1</v>
      </c>
      <c r="D42" s="3" t="str">
        <f>"0204002110"</f>
        <v>0204002110</v>
      </c>
      <c r="E42" s="3" t="str">
        <f>"اورينگ سايز NBR 3*235mm"</f>
        <v>اورينگ سايز NBR 3*235mm</v>
      </c>
      <c r="F42" s="3" t="str">
        <f t="shared" si="7"/>
        <v>عدد</v>
      </c>
      <c r="G42" s="3">
        <v>9</v>
      </c>
      <c r="H42" s="5">
        <v>108000</v>
      </c>
    </row>
    <row r="43" spans="1:8" ht="18.75" x14ac:dyDescent="0.2">
      <c r="A43" s="3" t="str">
        <f t="shared" si="0"/>
        <v>98/11/26</v>
      </c>
      <c r="B43" s="3" t="str">
        <f t="shared" si="1"/>
        <v>كالاهاي مصرفي</v>
      </c>
      <c r="C43" s="3" t="str">
        <f t="shared" si="6"/>
        <v>انبار مصرفي ZU1</v>
      </c>
      <c r="D43" s="3" t="str">
        <f>"0213000928"</f>
        <v>0213000928</v>
      </c>
      <c r="E43" s="3" t="str">
        <f>"پين 60* 8"</f>
        <v>پين 60* 8</v>
      </c>
      <c r="F43" s="3" t="str">
        <f t="shared" si="7"/>
        <v>عدد</v>
      </c>
      <c r="G43" s="3">
        <v>100</v>
      </c>
      <c r="H43" s="5">
        <v>108000</v>
      </c>
    </row>
    <row r="44" spans="1:8" ht="18.75" x14ac:dyDescent="0.2">
      <c r="A44" s="3" t="str">
        <f t="shared" si="0"/>
        <v>98/11/26</v>
      </c>
      <c r="B44" s="3" t="str">
        <f t="shared" si="1"/>
        <v>كالاهاي مصرفي</v>
      </c>
      <c r="C44" s="3" t="str">
        <f t="shared" si="6"/>
        <v>انبار مصرفي ZU1</v>
      </c>
      <c r="D44" s="3" t="str">
        <f>"0213000011"</f>
        <v>0213000011</v>
      </c>
      <c r="E44" s="3" t="str">
        <f>"پيچ شش گوش M8*25"</f>
        <v>پيچ شش گوش M8*25</v>
      </c>
      <c r="F44" s="3" t="str">
        <f t="shared" si="7"/>
        <v>عدد</v>
      </c>
      <c r="G44" s="3">
        <v>28</v>
      </c>
      <c r="H44" s="5">
        <v>109200</v>
      </c>
    </row>
    <row r="45" spans="1:8" ht="18.75" x14ac:dyDescent="0.2">
      <c r="A45" s="3" t="str">
        <f t="shared" si="0"/>
        <v>98/11/26</v>
      </c>
      <c r="B45" s="3" t="str">
        <f t="shared" si="1"/>
        <v>كالاهاي مصرفي</v>
      </c>
      <c r="C45" s="3" t="str">
        <f t="shared" si="6"/>
        <v>انبار مصرفي ZU1</v>
      </c>
      <c r="D45" s="3" t="str">
        <f>"0204000903"</f>
        <v>0204000903</v>
      </c>
      <c r="E45" s="3" t="str">
        <f>"خار چشمي DIN472 M39 داخلي"</f>
        <v>خار چشمي DIN472 M39 داخلي</v>
      </c>
      <c r="F45" s="3" t="str">
        <f t="shared" si="7"/>
        <v>عدد</v>
      </c>
      <c r="G45" s="3">
        <v>20</v>
      </c>
      <c r="H45" s="5">
        <v>110700</v>
      </c>
    </row>
    <row r="46" spans="1:8" ht="18.75" x14ac:dyDescent="0.2">
      <c r="A46" s="3" t="str">
        <f t="shared" si="0"/>
        <v>98/11/26</v>
      </c>
      <c r="B46" s="3" t="str">
        <f t="shared" si="1"/>
        <v>كالاهاي مصرفي</v>
      </c>
      <c r="C46" s="3" t="str">
        <f t="shared" si="6"/>
        <v>انبار مصرفي ZU1</v>
      </c>
      <c r="D46" s="3" t="str">
        <f>"0213000203"</f>
        <v>0213000203</v>
      </c>
      <c r="E46" s="3" t="str">
        <f>"واشر مسي M38"</f>
        <v>واشر مسي M38</v>
      </c>
      <c r="F46" s="3" t="str">
        <f t="shared" si="7"/>
        <v>عدد</v>
      </c>
      <c r="G46" s="3">
        <v>80</v>
      </c>
      <c r="H46" s="5">
        <v>115200</v>
      </c>
    </row>
    <row r="47" spans="1:8" ht="18.75" x14ac:dyDescent="0.2">
      <c r="A47" s="3" t="str">
        <f t="shared" si="0"/>
        <v>98/11/26</v>
      </c>
      <c r="B47" s="3" t="str">
        <f t="shared" si="1"/>
        <v>كالاهاي مصرفي</v>
      </c>
      <c r="C47" s="3" t="str">
        <f t="shared" si="6"/>
        <v>انبار مصرفي ZU1</v>
      </c>
      <c r="D47" s="3" t="str">
        <f>"0204000880"</f>
        <v>0204000880</v>
      </c>
      <c r="E47" s="3" t="str">
        <f>"خار چشمي DIN471 M20 خارجي"</f>
        <v>خار چشمي DIN471 M20 خارجي</v>
      </c>
      <c r="F47" s="3" t="str">
        <f t="shared" si="7"/>
        <v>عدد</v>
      </c>
      <c r="G47" s="3">
        <v>40</v>
      </c>
      <c r="H47" s="5">
        <v>116440</v>
      </c>
    </row>
    <row r="48" spans="1:8" ht="18.75" x14ac:dyDescent="0.2">
      <c r="A48" s="3" t="str">
        <f t="shared" si="0"/>
        <v>98/11/26</v>
      </c>
      <c r="B48" s="3" t="str">
        <f t="shared" si="1"/>
        <v>كالاهاي مصرفي</v>
      </c>
      <c r="C48" s="3" t="str">
        <f>"انبار مركزي ( عمومي )"</f>
        <v>انبار مركزي ( عمومي )</v>
      </c>
      <c r="D48" s="3" t="str">
        <f>"0211000480"</f>
        <v>0211000480</v>
      </c>
      <c r="E48" s="3" t="str">
        <f>"نخ بسته يندي ضخيم"</f>
        <v>نخ بسته يندي ضخيم</v>
      </c>
      <c r="F48" s="3" t="str">
        <f>"بسته"</f>
        <v>بسته</v>
      </c>
      <c r="G48" s="3">
        <v>4</v>
      </c>
      <c r="H48" s="5">
        <v>120000</v>
      </c>
    </row>
    <row r="49" spans="1:8" ht="18.75" x14ac:dyDescent="0.2">
      <c r="A49" s="3" t="str">
        <f t="shared" si="0"/>
        <v>98/11/26</v>
      </c>
      <c r="B49" s="3" t="str">
        <f t="shared" si="1"/>
        <v>كالاهاي مصرفي</v>
      </c>
      <c r="C49" s="3" t="str">
        <f t="shared" ref="C49:C56" si="8">"انبار مصرفي ZU1"</f>
        <v>انبار مصرفي ZU1</v>
      </c>
      <c r="D49" s="3" t="str">
        <f>"0213000345"</f>
        <v>0213000345</v>
      </c>
      <c r="E49" s="3" t="str">
        <f>"لقمه انگشتي نمره 6"</f>
        <v>لقمه انگشتي نمره 6</v>
      </c>
      <c r="F49" s="3" t="str">
        <f t="shared" ref="F49:F62" si="9">"عدد"</f>
        <v>عدد</v>
      </c>
      <c r="G49" s="3">
        <v>6</v>
      </c>
      <c r="H49" s="5">
        <v>120000</v>
      </c>
    </row>
    <row r="50" spans="1:8" ht="18.75" x14ac:dyDescent="0.2">
      <c r="A50" s="3" t="str">
        <f t="shared" si="0"/>
        <v>98/11/26</v>
      </c>
      <c r="B50" s="3" t="str">
        <f t="shared" si="1"/>
        <v>كالاهاي مصرفي</v>
      </c>
      <c r="C50" s="3" t="str">
        <f t="shared" si="8"/>
        <v>انبار مصرفي ZU1</v>
      </c>
      <c r="D50" s="3" t="str">
        <f>"0204000882"</f>
        <v>0204000882</v>
      </c>
      <c r="E50" s="3" t="str">
        <f>"خار چشمي DIN471 M22 خارجي"</f>
        <v>خار چشمي DIN471 M22 خارجي</v>
      </c>
      <c r="F50" s="3" t="str">
        <f t="shared" si="9"/>
        <v>عدد</v>
      </c>
      <c r="G50" s="3">
        <v>40</v>
      </c>
      <c r="H50" s="5">
        <v>126440</v>
      </c>
    </row>
    <row r="51" spans="1:8" ht="18.75" x14ac:dyDescent="0.2">
      <c r="A51" s="3" t="str">
        <f t="shared" si="0"/>
        <v>98/11/26</v>
      </c>
      <c r="B51" s="3" t="str">
        <f t="shared" si="1"/>
        <v>كالاهاي مصرفي</v>
      </c>
      <c r="C51" s="3" t="str">
        <f t="shared" si="8"/>
        <v>انبار مصرفي ZU1</v>
      </c>
      <c r="D51" s="3" t="str">
        <f>"0204000884"</f>
        <v>0204000884</v>
      </c>
      <c r="E51" s="3" t="str">
        <f>"خار چشمي DIN471 M24 خارجي"</f>
        <v>خار چشمي DIN471 M24 خارجي</v>
      </c>
      <c r="F51" s="3" t="str">
        <f t="shared" si="9"/>
        <v>عدد</v>
      </c>
      <c r="G51" s="3">
        <v>36</v>
      </c>
      <c r="H51" s="5">
        <v>126450</v>
      </c>
    </row>
    <row r="52" spans="1:8" ht="18.75" x14ac:dyDescent="0.2">
      <c r="A52" s="3" t="str">
        <f t="shared" si="0"/>
        <v>98/11/26</v>
      </c>
      <c r="B52" s="3" t="str">
        <f t="shared" si="1"/>
        <v>كالاهاي مصرفي</v>
      </c>
      <c r="C52" s="3" t="str">
        <f t="shared" si="8"/>
        <v>انبار مصرفي ZU1</v>
      </c>
      <c r="D52" s="3" t="str">
        <f>"0213000129"</f>
        <v>0213000129</v>
      </c>
      <c r="E52" s="3" t="str">
        <f>"واشر قفلي M26"</f>
        <v>واشر قفلي M26</v>
      </c>
      <c r="F52" s="3" t="str">
        <f t="shared" si="9"/>
        <v>عدد</v>
      </c>
      <c r="G52" s="3">
        <v>10</v>
      </c>
      <c r="H52" s="5">
        <v>127500</v>
      </c>
    </row>
    <row r="53" spans="1:8" ht="18.75" x14ac:dyDescent="0.2">
      <c r="A53" s="3" t="str">
        <f t="shared" si="0"/>
        <v>98/11/26</v>
      </c>
      <c r="B53" s="3" t="str">
        <f t="shared" si="1"/>
        <v>كالاهاي مصرفي</v>
      </c>
      <c r="C53" s="3" t="str">
        <f t="shared" si="8"/>
        <v>انبار مصرفي ZU1</v>
      </c>
      <c r="D53" s="3" t="str">
        <f>"0204000890"</f>
        <v>0204000890</v>
      </c>
      <c r="E53" s="3" t="str">
        <f>"خار چشمي DIN471 M30 خارجي"</f>
        <v>خار چشمي DIN471 M30 خارجي</v>
      </c>
      <c r="F53" s="3" t="str">
        <f t="shared" si="9"/>
        <v>عدد</v>
      </c>
      <c r="G53" s="3">
        <v>30</v>
      </c>
      <c r="H53" s="5">
        <v>129800</v>
      </c>
    </row>
    <row r="54" spans="1:8" ht="18.75" x14ac:dyDescent="0.2">
      <c r="A54" s="3" t="str">
        <f t="shared" si="0"/>
        <v>98/11/26</v>
      </c>
      <c r="B54" s="3" t="str">
        <f t="shared" si="1"/>
        <v>كالاهاي مصرفي</v>
      </c>
      <c r="C54" s="3" t="str">
        <f t="shared" si="8"/>
        <v>انبار مصرفي ZU1</v>
      </c>
      <c r="D54" s="3" t="str">
        <f>"0213000088"</f>
        <v>0213000088</v>
      </c>
      <c r="E54" s="3" t="str">
        <f>"واشر فنري M26"</f>
        <v>واشر فنري M26</v>
      </c>
      <c r="F54" s="3" t="str">
        <f t="shared" si="9"/>
        <v>عدد</v>
      </c>
      <c r="G54" s="3">
        <v>30</v>
      </c>
      <c r="H54" s="5">
        <v>130500</v>
      </c>
    </row>
    <row r="55" spans="1:8" ht="18.75" x14ac:dyDescent="0.2">
      <c r="A55" s="3" t="str">
        <f t="shared" si="0"/>
        <v>98/11/26</v>
      </c>
      <c r="B55" s="3" t="str">
        <f t="shared" si="1"/>
        <v>كالاهاي مصرفي</v>
      </c>
      <c r="C55" s="3" t="str">
        <f t="shared" si="8"/>
        <v>انبار مصرفي ZU1</v>
      </c>
      <c r="D55" s="3" t="str">
        <f>"0213000037"</f>
        <v>0213000037</v>
      </c>
      <c r="E55" s="3" t="str">
        <f>"پيچ M8*55"</f>
        <v>پيچ M8*55</v>
      </c>
      <c r="F55" s="3" t="str">
        <f t="shared" si="9"/>
        <v>عدد</v>
      </c>
      <c r="G55" s="3">
        <v>54</v>
      </c>
      <c r="H55" s="5">
        <v>130725</v>
      </c>
    </row>
    <row r="56" spans="1:8" ht="18.75" x14ac:dyDescent="0.2">
      <c r="A56" s="3" t="str">
        <f t="shared" si="0"/>
        <v>98/11/26</v>
      </c>
      <c r="B56" s="3" t="str">
        <f t="shared" si="1"/>
        <v>كالاهاي مصرفي</v>
      </c>
      <c r="C56" s="3" t="str">
        <f t="shared" si="8"/>
        <v>انبار مصرفي ZU1</v>
      </c>
      <c r="D56" s="3" t="str">
        <f>"0204001206"</f>
        <v>0204001206</v>
      </c>
      <c r="E56" s="3" t="str">
        <f>"کاسه نمد 7*24*14"</f>
        <v>کاسه نمد 7*24*14</v>
      </c>
      <c r="F56" s="3" t="str">
        <f t="shared" si="9"/>
        <v>عدد</v>
      </c>
      <c r="G56" s="3">
        <v>6</v>
      </c>
      <c r="H56" s="5">
        <v>132000</v>
      </c>
    </row>
    <row r="57" spans="1:8" ht="18.75" x14ac:dyDescent="0.2">
      <c r="A57" s="3" t="str">
        <f t="shared" si="0"/>
        <v>98/11/26</v>
      </c>
      <c r="B57" s="3" t="str">
        <f t="shared" si="1"/>
        <v>كالاهاي مصرفي</v>
      </c>
      <c r="C57" s="3" t="str">
        <f>"انبار مركزي ( عمومي )"</f>
        <v>انبار مركزي ( عمومي )</v>
      </c>
      <c r="D57" s="3" t="str">
        <f>"0206000141"</f>
        <v>0206000141</v>
      </c>
      <c r="E57" s="3" t="str">
        <f>"درپوش گالوانيزه   1/2 اينچ"</f>
        <v>درپوش گالوانيزه   1/2 اينچ</v>
      </c>
      <c r="F57" s="3" t="str">
        <f t="shared" si="9"/>
        <v>عدد</v>
      </c>
      <c r="G57" s="3">
        <v>10</v>
      </c>
      <c r="H57" s="5">
        <v>135000</v>
      </c>
    </row>
    <row r="58" spans="1:8" ht="18.75" x14ac:dyDescent="0.2">
      <c r="A58" s="3" t="str">
        <f t="shared" si="0"/>
        <v>98/11/26</v>
      </c>
      <c r="B58" s="3" t="str">
        <f t="shared" si="1"/>
        <v>كالاهاي مصرفي</v>
      </c>
      <c r="C58" s="3" t="str">
        <f>"انبار مصرفي ZU1"</f>
        <v>انبار مصرفي ZU1</v>
      </c>
      <c r="D58" s="3" t="str">
        <f>"0204000868"</f>
        <v>0204000868</v>
      </c>
      <c r="E58" s="3" t="str">
        <f>"کاسه نمد 8*62*37"</f>
        <v>کاسه نمد 8*62*37</v>
      </c>
      <c r="F58" s="3" t="str">
        <f t="shared" si="9"/>
        <v>عدد</v>
      </c>
      <c r="G58" s="3">
        <v>3</v>
      </c>
      <c r="H58" s="5">
        <v>138000</v>
      </c>
    </row>
    <row r="59" spans="1:8" ht="18.75" x14ac:dyDescent="0.2">
      <c r="A59" s="3" t="str">
        <f t="shared" si="0"/>
        <v>98/11/26</v>
      </c>
      <c r="B59" s="3" t="str">
        <f t="shared" si="1"/>
        <v>كالاهاي مصرفي</v>
      </c>
      <c r="C59" s="3" t="str">
        <f>"انبار مصرفي ZU1"</f>
        <v>انبار مصرفي ZU1</v>
      </c>
      <c r="D59" s="3" t="str">
        <f>"0213000188"</f>
        <v>0213000188</v>
      </c>
      <c r="E59" s="3" t="str">
        <f>"واشر مسي M8"</f>
        <v>واشر مسي M8</v>
      </c>
      <c r="F59" s="3" t="str">
        <f t="shared" si="9"/>
        <v>عدد</v>
      </c>
      <c r="G59" s="3">
        <v>70</v>
      </c>
      <c r="H59" s="5">
        <v>138600</v>
      </c>
    </row>
    <row r="60" spans="1:8" ht="18.75" x14ac:dyDescent="0.2">
      <c r="A60" s="3" t="str">
        <f t="shared" si="0"/>
        <v>98/11/26</v>
      </c>
      <c r="B60" s="3" t="str">
        <f t="shared" si="1"/>
        <v>كالاهاي مصرفي</v>
      </c>
      <c r="C60" s="3" t="str">
        <f>"انبار مصرفي ZU1"</f>
        <v>انبار مصرفي ZU1</v>
      </c>
      <c r="D60" s="3" t="str">
        <f>"0204001570"</f>
        <v>0204001570</v>
      </c>
      <c r="E60" s="3" t="str">
        <f>"كاسه نمد 7 *35 *20"</f>
        <v>كاسه نمد 7 *35 *20</v>
      </c>
      <c r="F60" s="3" t="str">
        <f t="shared" si="9"/>
        <v>عدد</v>
      </c>
      <c r="G60" s="3">
        <v>5</v>
      </c>
      <c r="H60" s="5">
        <v>140000</v>
      </c>
    </row>
    <row r="61" spans="1:8" ht="18.75" x14ac:dyDescent="0.2">
      <c r="A61" s="3" t="str">
        <f t="shared" si="0"/>
        <v>98/11/26</v>
      </c>
      <c r="B61" s="3" t="str">
        <f t="shared" si="1"/>
        <v>كالاهاي مصرفي</v>
      </c>
      <c r="C61" s="3" t="str">
        <f>"انبار مصرفي ZU1"</f>
        <v>انبار مصرفي ZU1</v>
      </c>
      <c r="D61" s="3" t="str">
        <f>"0204001831"</f>
        <v>0204001831</v>
      </c>
      <c r="E61" s="3" t="str">
        <f>"كاسه نمد 10*52*32"</f>
        <v>كاسه نمد 10*52*32</v>
      </c>
      <c r="F61" s="3" t="str">
        <f t="shared" si="9"/>
        <v>عدد</v>
      </c>
      <c r="G61" s="3">
        <v>6</v>
      </c>
      <c r="H61" s="5">
        <v>140400</v>
      </c>
    </row>
    <row r="62" spans="1:8" ht="18.75" x14ac:dyDescent="0.2">
      <c r="A62" s="3" t="str">
        <f t="shared" si="0"/>
        <v>98/11/26</v>
      </c>
      <c r="B62" s="3" t="str">
        <f t="shared" si="1"/>
        <v>كالاهاي مصرفي</v>
      </c>
      <c r="C62" s="3" t="str">
        <f>"انبار مركزي ( عمومي )"</f>
        <v>انبار مركزي ( عمومي )</v>
      </c>
      <c r="D62" s="3" t="str">
        <f>"0206000234"</f>
        <v>0206000234</v>
      </c>
      <c r="E62" s="3" t="str">
        <f>"بوشن سبز 1/2 اينچ"</f>
        <v>بوشن سبز 1/2 اينچ</v>
      </c>
      <c r="F62" s="3" t="str">
        <f t="shared" si="9"/>
        <v>عدد</v>
      </c>
      <c r="G62" s="3">
        <v>30</v>
      </c>
      <c r="H62" s="5">
        <v>140625</v>
      </c>
    </row>
    <row r="63" spans="1:8" ht="18.75" x14ac:dyDescent="0.2">
      <c r="A63" s="3" t="str">
        <f t="shared" si="0"/>
        <v>98/11/26</v>
      </c>
      <c r="B63" s="3" t="str">
        <f t="shared" si="1"/>
        <v>كالاهاي مصرفي</v>
      </c>
      <c r="C63" s="3" t="str">
        <f>"انبار مركزي ( عمومي )"</f>
        <v>انبار مركزي ( عمومي )</v>
      </c>
      <c r="D63" s="3" t="str">
        <f>"0206000207"</f>
        <v>0206000207</v>
      </c>
      <c r="E63" s="3" t="str">
        <f>"بست كمربندي پلاستيكي 10 سانتي"</f>
        <v>بست كمربندي پلاستيكي 10 سانتي</v>
      </c>
      <c r="F63" s="3" t="str">
        <f>"بسته"</f>
        <v>بسته</v>
      </c>
      <c r="G63" s="3">
        <v>5</v>
      </c>
      <c r="H63" s="5">
        <v>142242</v>
      </c>
    </row>
    <row r="64" spans="1:8" ht="18.75" x14ac:dyDescent="0.2">
      <c r="A64" s="3" t="str">
        <f t="shared" si="0"/>
        <v>98/11/26</v>
      </c>
      <c r="B64" s="3" t="str">
        <f t="shared" si="1"/>
        <v>كالاهاي مصرفي</v>
      </c>
      <c r="C64" s="3" t="str">
        <f>"انبار مصرفي ZU1"</f>
        <v>انبار مصرفي ZU1</v>
      </c>
      <c r="D64" s="3" t="str">
        <f>"0213000187"</f>
        <v>0213000187</v>
      </c>
      <c r="E64" s="3" t="str">
        <f>"واشر مسي M6"</f>
        <v>واشر مسي M6</v>
      </c>
      <c r="F64" s="3" t="str">
        <f t="shared" ref="F64:F95" si="10">"عدد"</f>
        <v>عدد</v>
      </c>
      <c r="G64" s="3">
        <v>80</v>
      </c>
      <c r="H64" s="5">
        <v>144000</v>
      </c>
    </row>
    <row r="65" spans="1:8" ht="18.75" x14ac:dyDescent="0.2">
      <c r="A65" s="3" t="str">
        <f t="shared" si="0"/>
        <v>98/11/26</v>
      </c>
      <c r="B65" s="3" t="str">
        <f t="shared" si="1"/>
        <v>كالاهاي مصرفي</v>
      </c>
      <c r="C65" s="3" t="str">
        <f>"انبار مصرفي ZU1"</f>
        <v>انبار مصرفي ZU1</v>
      </c>
      <c r="D65" s="3" t="str">
        <f>"0204000892"</f>
        <v>0204000892</v>
      </c>
      <c r="E65" s="3" t="str">
        <f>"خار چشمي DIN471 M32خارجي"</f>
        <v>خار چشمي DIN471 M32خارجي</v>
      </c>
      <c r="F65" s="3" t="str">
        <f t="shared" si="10"/>
        <v>عدد</v>
      </c>
      <c r="G65" s="3">
        <v>30</v>
      </c>
      <c r="H65" s="5">
        <v>145600</v>
      </c>
    </row>
    <row r="66" spans="1:8" ht="18.75" x14ac:dyDescent="0.2">
      <c r="A66" s="3" t="str">
        <f t="shared" ref="A66:A129" si="11">"98/11/26"</f>
        <v>98/11/26</v>
      </c>
      <c r="B66" s="3" t="str">
        <f t="shared" ref="B66:B129" si="12">"كالاهاي مصرفي"</f>
        <v>كالاهاي مصرفي</v>
      </c>
      <c r="C66" s="3" t="str">
        <f>"انبار مصرفي ZU1"</f>
        <v>انبار مصرفي ZU1</v>
      </c>
      <c r="D66" s="3" t="str">
        <f>"0204000908"</f>
        <v>0204000908</v>
      </c>
      <c r="E66" s="3" t="str">
        <f>"خار چشمي DIN471 M45 خارجي"</f>
        <v>خار چشمي DIN471 M45 خارجي</v>
      </c>
      <c r="F66" s="3" t="str">
        <f t="shared" si="10"/>
        <v>عدد</v>
      </c>
      <c r="G66" s="3">
        <v>20</v>
      </c>
      <c r="H66" s="5">
        <v>148500</v>
      </c>
    </row>
    <row r="67" spans="1:8" ht="18.75" x14ac:dyDescent="0.2">
      <c r="A67" s="3" t="str">
        <f t="shared" si="11"/>
        <v>98/11/26</v>
      </c>
      <c r="B67" s="3" t="str">
        <f t="shared" si="12"/>
        <v>كالاهاي مصرفي</v>
      </c>
      <c r="C67" s="3" t="str">
        <f>"انبار مركزي ( عمومي )"</f>
        <v>انبار مركزي ( عمومي )</v>
      </c>
      <c r="D67" s="3" t="str">
        <f>"0206000549"</f>
        <v>0206000549</v>
      </c>
      <c r="E67" s="3" t="str">
        <f>"مغزي رزوه اي شيلنگ خور 1/2 اينچ"</f>
        <v>مغزي رزوه اي شيلنگ خور 1/2 اينچ</v>
      </c>
      <c r="F67" s="3" t="str">
        <f t="shared" si="10"/>
        <v>عدد</v>
      </c>
      <c r="G67" s="3">
        <v>10</v>
      </c>
      <c r="H67" s="5">
        <v>150000</v>
      </c>
    </row>
    <row r="68" spans="1:8" ht="18.75" x14ac:dyDescent="0.2">
      <c r="A68" s="3" t="str">
        <f t="shared" si="11"/>
        <v>98/11/26</v>
      </c>
      <c r="B68" s="3" t="str">
        <f t="shared" si="12"/>
        <v>كالاهاي مصرفي</v>
      </c>
      <c r="C68" s="3" t="str">
        <f>"انبار مركزي ( عمومي )"</f>
        <v>انبار مركزي ( عمومي )</v>
      </c>
      <c r="D68" s="3" t="str">
        <f>"0211000402"</f>
        <v>0211000402</v>
      </c>
      <c r="E68" s="3" t="str">
        <f>"برس تميز كننده لباس"</f>
        <v>برس تميز كننده لباس</v>
      </c>
      <c r="F68" s="3" t="str">
        <f t="shared" si="10"/>
        <v>عدد</v>
      </c>
      <c r="G68" s="3">
        <v>3</v>
      </c>
      <c r="H68" s="5">
        <v>150000</v>
      </c>
    </row>
    <row r="69" spans="1:8" ht="18.75" x14ac:dyDescent="0.2">
      <c r="A69" s="3" t="str">
        <f t="shared" si="11"/>
        <v>98/11/26</v>
      </c>
      <c r="B69" s="3" t="str">
        <f t="shared" si="12"/>
        <v>كالاهاي مصرفي</v>
      </c>
      <c r="C69" s="3" t="str">
        <f t="shared" ref="C69:C95" si="13">"انبار مصرفي ZU1"</f>
        <v>انبار مصرفي ZU1</v>
      </c>
      <c r="D69" s="3" t="str">
        <f>"0204000910"</f>
        <v>0204000910</v>
      </c>
      <c r="E69" s="3" t="str">
        <f>"خار چشمي DIN471 M46 خارجي"</f>
        <v>خار چشمي DIN471 M46 خارجي</v>
      </c>
      <c r="F69" s="3" t="str">
        <f t="shared" si="10"/>
        <v>عدد</v>
      </c>
      <c r="G69" s="3">
        <v>20</v>
      </c>
      <c r="H69" s="5">
        <v>151200</v>
      </c>
    </row>
    <row r="70" spans="1:8" ht="18.75" x14ac:dyDescent="0.2">
      <c r="A70" s="3" t="str">
        <f t="shared" si="11"/>
        <v>98/11/26</v>
      </c>
      <c r="B70" s="3" t="str">
        <f t="shared" si="12"/>
        <v>كالاهاي مصرفي</v>
      </c>
      <c r="C70" s="3" t="str">
        <f t="shared" si="13"/>
        <v>انبار مصرفي ZU1</v>
      </c>
      <c r="D70" s="3" t="str">
        <f>"0204000912"</f>
        <v>0204000912</v>
      </c>
      <c r="E70" s="3" t="str">
        <f>"خار چشمي DIN471 M47 خارجي"</f>
        <v>خار چشمي DIN471 M47 خارجي</v>
      </c>
      <c r="F70" s="3" t="str">
        <f t="shared" si="10"/>
        <v>عدد</v>
      </c>
      <c r="G70" s="3">
        <v>20</v>
      </c>
      <c r="H70" s="5">
        <v>153900</v>
      </c>
    </row>
    <row r="71" spans="1:8" ht="18.75" x14ac:dyDescent="0.2">
      <c r="A71" s="3" t="str">
        <f t="shared" si="11"/>
        <v>98/11/26</v>
      </c>
      <c r="B71" s="3" t="str">
        <f t="shared" si="12"/>
        <v>كالاهاي مصرفي</v>
      </c>
      <c r="C71" s="3" t="str">
        <f t="shared" si="13"/>
        <v>انبار مصرفي ZU1</v>
      </c>
      <c r="D71" s="3" t="str">
        <f>"0213000376"</f>
        <v>0213000376</v>
      </c>
      <c r="E71" s="3" t="str">
        <f>"پيچ يك سر رزوه كربن استيل M8*30"</f>
        <v>پيچ يك سر رزوه كربن استيل M8*30</v>
      </c>
      <c r="F71" s="3" t="str">
        <f t="shared" si="10"/>
        <v>عدد</v>
      </c>
      <c r="G71" s="3">
        <v>100</v>
      </c>
      <c r="H71" s="5">
        <v>154000</v>
      </c>
    </row>
    <row r="72" spans="1:8" ht="18.75" x14ac:dyDescent="0.2">
      <c r="A72" s="3" t="str">
        <f t="shared" si="11"/>
        <v>98/11/26</v>
      </c>
      <c r="B72" s="3" t="str">
        <f t="shared" si="12"/>
        <v>كالاهاي مصرفي</v>
      </c>
      <c r="C72" s="3" t="str">
        <f t="shared" si="13"/>
        <v>انبار مصرفي ZU1</v>
      </c>
      <c r="D72" s="3" t="str">
        <f>"0204000894"</f>
        <v>0204000894</v>
      </c>
      <c r="E72" s="3" t="str">
        <f>"خار چشمي DIN471 M34 خارجي"</f>
        <v>خار چشمي DIN471 M34 خارجي</v>
      </c>
      <c r="F72" s="3" t="str">
        <f t="shared" si="10"/>
        <v>عدد</v>
      </c>
      <c r="G72" s="3">
        <v>30</v>
      </c>
      <c r="H72" s="5">
        <v>156000</v>
      </c>
    </row>
    <row r="73" spans="1:8" ht="18.75" x14ac:dyDescent="0.2">
      <c r="A73" s="3" t="str">
        <f t="shared" si="11"/>
        <v>98/11/26</v>
      </c>
      <c r="B73" s="3" t="str">
        <f t="shared" si="12"/>
        <v>كالاهاي مصرفي</v>
      </c>
      <c r="C73" s="3" t="str">
        <f t="shared" si="13"/>
        <v>انبار مصرفي ZU1</v>
      </c>
      <c r="D73" s="3" t="str">
        <f>"0204000886"</f>
        <v>0204000886</v>
      </c>
      <c r="E73" s="3" t="str">
        <f>"خار چشمي DIN471 M26 خارجي"</f>
        <v>خار چشمي DIN471 M26 خارجي</v>
      </c>
      <c r="F73" s="3" t="str">
        <f t="shared" si="10"/>
        <v>عدد</v>
      </c>
      <c r="G73" s="3">
        <v>40</v>
      </c>
      <c r="H73" s="5">
        <v>160000</v>
      </c>
    </row>
    <row r="74" spans="1:8" ht="18.75" x14ac:dyDescent="0.2">
      <c r="A74" s="3" t="str">
        <f t="shared" si="11"/>
        <v>98/11/26</v>
      </c>
      <c r="B74" s="3" t="str">
        <f t="shared" si="12"/>
        <v>كالاهاي مصرفي</v>
      </c>
      <c r="C74" s="3" t="str">
        <f t="shared" si="13"/>
        <v>انبار مصرفي ZU1</v>
      </c>
      <c r="D74" s="3" t="str">
        <f>"0204001242"</f>
        <v>0204001242</v>
      </c>
      <c r="E74" s="3" t="str">
        <f>"کاسه نمد 10*52*40"</f>
        <v>کاسه نمد 10*52*40</v>
      </c>
      <c r="F74" s="3" t="str">
        <f t="shared" si="10"/>
        <v>عدد</v>
      </c>
      <c r="G74" s="3">
        <v>4</v>
      </c>
      <c r="H74" s="5">
        <v>160000</v>
      </c>
    </row>
    <row r="75" spans="1:8" ht="18.75" x14ac:dyDescent="0.2">
      <c r="A75" s="3" t="str">
        <f t="shared" si="11"/>
        <v>98/11/26</v>
      </c>
      <c r="B75" s="3" t="str">
        <f t="shared" si="12"/>
        <v>كالاهاي مصرفي</v>
      </c>
      <c r="C75" s="3" t="str">
        <f t="shared" si="13"/>
        <v>انبار مصرفي ZU1</v>
      </c>
      <c r="D75" s="3" t="str">
        <f>"0204002176"</f>
        <v>0204002176</v>
      </c>
      <c r="E75" s="3" t="str">
        <f>"کاسه نمد 10*35*18"</f>
        <v>کاسه نمد 10*35*18</v>
      </c>
      <c r="F75" s="3" t="str">
        <f t="shared" si="10"/>
        <v>عدد</v>
      </c>
      <c r="G75" s="3">
        <v>2</v>
      </c>
      <c r="H75" s="5">
        <v>160000</v>
      </c>
    </row>
    <row r="76" spans="1:8" ht="18.75" x14ac:dyDescent="0.2">
      <c r="A76" s="3" t="str">
        <f t="shared" si="11"/>
        <v>98/11/26</v>
      </c>
      <c r="B76" s="3" t="str">
        <f t="shared" si="12"/>
        <v>كالاهاي مصرفي</v>
      </c>
      <c r="C76" s="3" t="str">
        <f t="shared" si="13"/>
        <v>انبار مصرفي ZU1</v>
      </c>
      <c r="D76" s="3" t="str">
        <f>"0204000865"</f>
        <v>0204000865</v>
      </c>
      <c r="E76" s="3" t="str">
        <f>"کاسه نمد 12*80*58"</f>
        <v>کاسه نمد 12*80*58</v>
      </c>
      <c r="F76" s="3" t="str">
        <f t="shared" si="10"/>
        <v>عدد</v>
      </c>
      <c r="G76" s="3">
        <v>3</v>
      </c>
      <c r="H76" s="5">
        <v>165000</v>
      </c>
    </row>
    <row r="77" spans="1:8" ht="18.75" x14ac:dyDescent="0.2">
      <c r="A77" s="3" t="str">
        <f t="shared" si="11"/>
        <v>98/11/26</v>
      </c>
      <c r="B77" s="3" t="str">
        <f t="shared" si="12"/>
        <v>كالاهاي مصرفي</v>
      </c>
      <c r="C77" s="3" t="str">
        <f t="shared" si="13"/>
        <v>انبار مصرفي ZU1</v>
      </c>
      <c r="D77" s="3" t="str">
        <f>"0213000451"</f>
        <v>0213000451</v>
      </c>
      <c r="E77" s="3" t="str">
        <f>"واشر برنجي M24"</f>
        <v>واشر برنجي M24</v>
      </c>
      <c r="F77" s="3" t="str">
        <f t="shared" si="10"/>
        <v>عدد</v>
      </c>
      <c r="G77" s="3">
        <v>14</v>
      </c>
      <c r="H77" s="5">
        <v>165060</v>
      </c>
    </row>
    <row r="78" spans="1:8" ht="18.75" x14ac:dyDescent="0.2">
      <c r="A78" s="3" t="str">
        <f t="shared" si="11"/>
        <v>98/11/26</v>
      </c>
      <c r="B78" s="3" t="str">
        <f t="shared" si="12"/>
        <v>كالاهاي مصرفي</v>
      </c>
      <c r="C78" s="3" t="str">
        <f t="shared" si="13"/>
        <v>انبار مصرفي ZU1</v>
      </c>
      <c r="D78" s="3" t="str">
        <f>"0204000088"</f>
        <v>0204000088</v>
      </c>
      <c r="E78" s="3" t="str">
        <f>"بيرينگ 6208"</f>
        <v>بيرينگ 6208</v>
      </c>
      <c r="F78" s="3" t="str">
        <f t="shared" si="10"/>
        <v>عدد</v>
      </c>
      <c r="G78" s="3">
        <v>1</v>
      </c>
      <c r="H78" s="5">
        <v>170000</v>
      </c>
    </row>
    <row r="79" spans="1:8" ht="18.75" x14ac:dyDescent="0.2">
      <c r="A79" s="3" t="str">
        <f t="shared" si="11"/>
        <v>98/11/26</v>
      </c>
      <c r="B79" s="3" t="str">
        <f t="shared" si="12"/>
        <v>كالاهاي مصرفي</v>
      </c>
      <c r="C79" s="3" t="str">
        <f t="shared" si="13"/>
        <v>انبار مصرفي ZU1</v>
      </c>
      <c r="D79" s="3" t="str">
        <f>"0204001739"</f>
        <v>0204001739</v>
      </c>
      <c r="E79" s="3" t="str">
        <f>"قفل کن بيرينگ KM9"</f>
        <v>قفل کن بيرينگ KM9</v>
      </c>
      <c r="F79" s="3" t="str">
        <f t="shared" si="10"/>
        <v>عدد</v>
      </c>
      <c r="G79" s="3">
        <v>2</v>
      </c>
      <c r="H79" s="5">
        <v>170000</v>
      </c>
    </row>
    <row r="80" spans="1:8" ht="18.75" x14ac:dyDescent="0.2">
      <c r="A80" s="3" t="str">
        <f t="shared" si="11"/>
        <v>98/11/26</v>
      </c>
      <c r="B80" s="3" t="str">
        <f t="shared" si="12"/>
        <v>كالاهاي مصرفي</v>
      </c>
      <c r="C80" s="3" t="str">
        <f t="shared" si="13"/>
        <v>انبار مصرفي ZU1</v>
      </c>
      <c r="D80" s="3" t="str">
        <f>"0204001239"</f>
        <v>0204001239</v>
      </c>
      <c r="E80" s="3" t="str">
        <f>"کاسه نمد 13*85*60"</f>
        <v>کاسه نمد 13*85*60</v>
      </c>
      <c r="F80" s="3" t="str">
        <f t="shared" si="10"/>
        <v>عدد</v>
      </c>
      <c r="G80" s="3">
        <v>3</v>
      </c>
      <c r="H80" s="5">
        <v>171000</v>
      </c>
    </row>
    <row r="81" spans="1:8" ht="18.75" x14ac:dyDescent="0.2">
      <c r="A81" s="3" t="str">
        <f t="shared" si="11"/>
        <v>98/11/26</v>
      </c>
      <c r="B81" s="3" t="str">
        <f t="shared" si="12"/>
        <v>كالاهاي مصرفي</v>
      </c>
      <c r="C81" s="3" t="str">
        <f t="shared" si="13"/>
        <v>انبار مصرفي ZU1</v>
      </c>
      <c r="D81" s="3" t="str">
        <f>"0213000089"</f>
        <v>0213000089</v>
      </c>
      <c r="E81" s="3" t="str">
        <f>"واشر فنري M28"</f>
        <v>واشر فنري M28</v>
      </c>
      <c r="F81" s="3" t="str">
        <f t="shared" si="10"/>
        <v>عدد</v>
      </c>
      <c r="G81" s="3">
        <v>30</v>
      </c>
      <c r="H81" s="5">
        <v>171000</v>
      </c>
    </row>
    <row r="82" spans="1:8" ht="18.75" x14ac:dyDescent="0.2">
      <c r="A82" s="3" t="str">
        <f t="shared" si="11"/>
        <v>98/11/26</v>
      </c>
      <c r="B82" s="3" t="str">
        <f t="shared" si="12"/>
        <v>كالاهاي مصرفي</v>
      </c>
      <c r="C82" s="3" t="str">
        <f t="shared" si="13"/>
        <v>انبار مصرفي ZU1</v>
      </c>
      <c r="D82" s="3" t="str">
        <f>"0204001830"</f>
        <v>0204001830</v>
      </c>
      <c r="E82" s="3" t="str">
        <f>"كاسه نمد 7 *40 *50-1"</f>
        <v>كاسه نمد 7 *40 *50-1</v>
      </c>
      <c r="F82" s="3" t="str">
        <f t="shared" si="10"/>
        <v>عدد</v>
      </c>
      <c r="G82" s="3">
        <v>5</v>
      </c>
      <c r="H82" s="5">
        <v>180000</v>
      </c>
    </row>
    <row r="83" spans="1:8" ht="18.75" x14ac:dyDescent="0.2">
      <c r="A83" s="3" t="str">
        <f t="shared" si="11"/>
        <v>98/11/26</v>
      </c>
      <c r="B83" s="3" t="str">
        <f t="shared" si="12"/>
        <v>كالاهاي مصرفي</v>
      </c>
      <c r="C83" s="3" t="str">
        <f t="shared" si="13"/>
        <v>انبار مصرفي ZU1</v>
      </c>
      <c r="D83" s="3" t="str">
        <f>"0204000888"</f>
        <v>0204000888</v>
      </c>
      <c r="E83" s="3" t="str">
        <f>"خار چشمي DIN471 M28 خارجي"</f>
        <v>خار چشمي DIN471 M28 خارجي</v>
      </c>
      <c r="F83" s="3" t="str">
        <f t="shared" si="10"/>
        <v>عدد</v>
      </c>
      <c r="G83" s="3">
        <v>40</v>
      </c>
      <c r="H83" s="5">
        <v>184800</v>
      </c>
    </row>
    <row r="84" spans="1:8" ht="18.75" x14ac:dyDescent="0.2">
      <c r="A84" s="3" t="str">
        <f t="shared" si="11"/>
        <v>98/11/26</v>
      </c>
      <c r="B84" s="3" t="str">
        <f t="shared" si="12"/>
        <v>كالاهاي مصرفي</v>
      </c>
      <c r="C84" s="3" t="str">
        <f t="shared" si="13"/>
        <v>انبار مصرفي ZU1</v>
      </c>
      <c r="D84" s="3" t="str">
        <f>"0204000900"</f>
        <v>0204000900</v>
      </c>
      <c r="E84" s="3" t="str">
        <f>"خار چشمي DIN471 M38 خارجي"</f>
        <v>خار چشمي DIN471 M38 خارجي</v>
      </c>
      <c r="F84" s="3" t="str">
        <f t="shared" si="10"/>
        <v>عدد</v>
      </c>
      <c r="G84" s="3">
        <v>28</v>
      </c>
      <c r="H84" s="5">
        <v>185400</v>
      </c>
    </row>
    <row r="85" spans="1:8" ht="18.75" x14ac:dyDescent="0.2">
      <c r="A85" s="3" t="str">
        <f t="shared" si="11"/>
        <v>98/11/26</v>
      </c>
      <c r="B85" s="3" t="str">
        <f t="shared" si="12"/>
        <v>كالاهاي مصرفي</v>
      </c>
      <c r="C85" s="3" t="str">
        <f t="shared" si="13"/>
        <v>انبار مصرفي ZU1</v>
      </c>
      <c r="D85" s="3" t="str">
        <f>"0204001615"</f>
        <v>0204001615</v>
      </c>
      <c r="E85" s="3" t="str">
        <f>"كاسه نمد 10*50*28"</f>
        <v>كاسه نمد 10*50*28</v>
      </c>
      <c r="F85" s="3" t="str">
        <f t="shared" si="10"/>
        <v>عدد</v>
      </c>
      <c r="G85" s="3">
        <v>8</v>
      </c>
      <c r="H85" s="5">
        <v>187200</v>
      </c>
    </row>
    <row r="86" spans="1:8" ht="18.75" x14ac:dyDescent="0.2">
      <c r="A86" s="3" t="str">
        <f t="shared" si="11"/>
        <v>98/11/26</v>
      </c>
      <c r="B86" s="3" t="str">
        <f t="shared" si="12"/>
        <v>كالاهاي مصرفي</v>
      </c>
      <c r="C86" s="3" t="str">
        <f t="shared" si="13"/>
        <v>انبار مصرفي ZU1</v>
      </c>
      <c r="D86" s="3" t="str">
        <f>"0204000896"</f>
        <v>0204000896</v>
      </c>
      <c r="E86" s="3" t="str">
        <f>"خار چشمي DIN471 M36 خارجي"</f>
        <v>خار چشمي DIN471 M36 خارجي</v>
      </c>
      <c r="F86" s="3" t="str">
        <f t="shared" si="10"/>
        <v>عدد</v>
      </c>
      <c r="G86" s="3">
        <v>30</v>
      </c>
      <c r="H86" s="5">
        <v>187600</v>
      </c>
    </row>
    <row r="87" spans="1:8" ht="18.75" x14ac:dyDescent="0.2">
      <c r="A87" s="3" t="str">
        <f t="shared" si="11"/>
        <v>98/11/26</v>
      </c>
      <c r="B87" s="3" t="str">
        <f t="shared" si="12"/>
        <v>كالاهاي مصرفي</v>
      </c>
      <c r="C87" s="3" t="str">
        <f t="shared" si="13"/>
        <v>انبار مصرفي ZU1</v>
      </c>
      <c r="D87" s="3" t="str">
        <f>"0204000916"</f>
        <v>0204000916</v>
      </c>
      <c r="E87" s="3" t="str">
        <f>"خار چشمي DIN471 M50 خارجي"</f>
        <v>خار چشمي DIN471 M50 خارجي</v>
      </c>
      <c r="F87" s="3" t="str">
        <f t="shared" si="10"/>
        <v>عدد</v>
      </c>
      <c r="G87" s="3">
        <v>20</v>
      </c>
      <c r="H87" s="5">
        <v>189000</v>
      </c>
    </row>
    <row r="88" spans="1:8" ht="18.75" x14ac:dyDescent="0.2">
      <c r="A88" s="3" t="str">
        <f t="shared" si="11"/>
        <v>98/11/26</v>
      </c>
      <c r="B88" s="3" t="str">
        <f t="shared" si="12"/>
        <v>كالاهاي مصرفي</v>
      </c>
      <c r="C88" s="3" t="str">
        <f t="shared" si="13"/>
        <v>انبار مصرفي ZU1</v>
      </c>
      <c r="D88" s="3" t="str">
        <f>"0213000189"</f>
        <v>0213000189</v>
      </c>
      <c r="E88" s="3" t="str">
        <f>"واشر مسي M10"</f>
        <v>واشر مسي M10</v>
      </c>
      <c r="F88" s="3" t="str">
        <f t="shared" si="10"/>
        <v>عدد</v>
      </c>
      <c r="G88" s="3">
        <v>80</v>
      </c>
      <c r="H88" s="5">
        <v>190080</v>
      </c>
    </row>
    <row r="89" spans="1:8" ht="18.75" x14ac:dyDescent="0.2">
      <c r="A89" s="3" t="str">
        <f t="shared" si="11"/>
        <v>98/11/26</v>
      </c>
      <c r="B89" s="3" t="str">
        <f t="shared" si="12"/>
        <v>كالاهاي مصرفي</v>
      </c>
      <c r="C89" s="3" t="str">
        <f t="shared" si="13"/>
        <v>انبار مصرفي ZU1</v>
      </c>
      <c r="D89" s="3" t="str">
        <f>"0204001456"</f>
        <v>0204001456</v>
      </c>
      <c r="E89" s="3" t="str">
        <f>"کاسه نمد 13*65*90"</f>
        <v>کاسه نمد 13*65*90</v>
      </c>
      <c r="F89" s="3" t="str">
        <f t="shared" si="10"/>
        <v>عدد</v>
      </c>
      <c r="G89" s="3">
        <v>3</v>
      </c>
      <c r="H89" s="5">
        <v>195000</v>
      </c>
    </row>
    <row r="90" spans="1:8" ht="18.75" x14ac:dyDescent="0.2">
      <c r="A90" s="3" t="str">
        <f t="shared" si="11"/>
        <v>98/11/26</v>
      </c>
      <c r="B90" s="3" t="str">
        <f t="shared" si="12"/>
        <v>كالاهاي مصرفي</v>
      </c>
      <c r="C90" s="3" t="str">
        <f t="shared" si="13"/>
        <v>انبار مصرفي ZU1</v>
      </c>
      <c r="D90" s="3" t="str">
        <f>"0213000372"</f>
        <v>0213000372</v>
      </c>
      <c r="E90" s="3" t="str">
        <f>"پيچ يك سر رزوه كربن استيل M8*20"</f>
        <v>پيچ يك سر رزوه كربن استيل M8*20</v>
      </c>
      <c r="F90" s="3" t="str">
        <f t="shared" si="10"/>
        <v>عدد</v>
      </c>
      <c r="G90" s="3">
        <v>70</v>
      </c>
      <c r="H90" s="5">
        <v>195606</v>
      </c>
    </row>
    <row r="91" spans="1:8" ht="18.75" x14ac:dyDescent="0.2">
      <c r="A91" s="3" t="str">
        <f t="shared" si="11"/>
        <v>98/11/26</v>
      </c>
      <c r="B91" s="3" t="str">
        <f t="shared" si="12"/>
        <v>كالاهاي مصرفي</v>
      </c>
      <c r="C91" s="3" t="str">
        <f t="shared" si="13"/>
        <v>انبار مصرفي ZU1</v>
      </c>
      <c r="D91" s="3" t="str">
        <f>"0204000918"</f>
        <v>0204000918</v>
      </c>
      <c r="E91" s="3" t="str">
        <f>"خار چشمي DIN471 M52 خارجي"</f>
        <v>خار چشمي DIN471 M52 خارجي</v>
      </c>
      <c r="F91" s="3" t="str">
        <f t="shared" si="10"/>
        <v>عدد</v>
      </c>
      <c r="G91" s="3">
        <v>20</v>
      </c>
      <c r="H91" s="5">
        <v>199000</v>
      </c>
    </row>
    <row r="92" spans="1:8" ht="18.75" x14ac:dyDescent="0.2">
      <c r="A92" s="3" t="str">
        <f t="shared" si="11"/>
        <v>98/11/26</v>
      </c>
      <c r="B92" s="3" t="str">
        <f t="shared" si="12"/>
        <v>كالاهاي مصرفي</v>
      </c>
      <c r="C92" s="3" t="str">
        <f t="shared" si="13"/>
        <v>انبار مصرفي ZU1</v>
      </c>
      <c r="D92" s="3" t="str">
        <f>"0204000920"</f>
        <v>0204000920</v>
      </c>
      <c r="E92" s="3" t="str">
        <f>"خار چشمي DIN471 M55 خارجي"</f>
        <v>خار چشمي DIN471 M55 خارجي</v>
      </c>
      <c r="F92" s="3" t="str">
        <f t="shared" si="10"/>
        <v>عدد</v>
      </c>
      <c r="G92" s="3">
        <v>20</v>
      </c>
      <c r="H92" s="5">
        <v>199800</v>
      </c>
    </row>
    <row r="93" spans="1:8" ht="18.75" x14ac:dyDescent="0.2">
      <c r="A93" s="3" t="str">
        <f t="shared" si="11"/>
        <v>98/11/26</v>
      </c>
      <c r="B93" s="3" t="str">
        <f t="shared" si="12"/>
        <v>كالاهاي مصرفي</v>
      </c>
      <c r="C93" s="3" t="str">
        <f t="shared" si="13"/>
        <v>انبار مصرفي ZU1</v>
      </c>
      <c r="D93" s="3" t="str">
        <f>"0204001408"</f>
        <v>0204001408</v>
      </c>
      <c r="E93" s="3" t="str">
        <f>"فيبر وفنر 16mm"</f>
        <v>فيبر وفنر 16mm</v>
      </c>
      <c r="F93" s="3" t="str">
        <f t="shared" si="10"/>
        <v>عدد</v>
      </c>
      <c r="G93" s="3">
        <v>5</v>
      </c>
      <c r="H93" s="5">
        <v>200000</v>
      </c>
    </row>
    <row r="94" spans="1:8" ht="18.75" x14ac:dyDescent="0.2">
      <c r="A94" s="3" t="str">
        <f t="shared" si="11"/>
        <v>98/11/26</v>
      </c>
      <c r="B94" s="3" t="str">
        <f t="shared" si="12"/>
        <v>كالاهاي مصرفي</v>
      </c>
      <c r="C94" s="3" t="str">
        <f t="shared" si="13"/>
        <v>انبار مصرفي ZU1</v>
      </c>
      <c r="D94" s="3" t="str">
        <f>"0204001539"</f>
        <v>0204001539</v>
      </c>
      <c r="E94" s="3" t="str">
        <f>"بيرينگ 6200 2RS"</f>
        <v>بيرينگ 6200 2RS</v>
      </c>
      <c r="F94" s="3" t="str">
        <f t="shared" si="10"/>
        <v>عدد</v>
      </c>
      <c r="G94" s="3">
        <v>4</v>
      </c>
      <c r="H94" s="5">
        <v>200000</v>
      </c>
    </row>
    <row r="95" spans="1:8" ht="18.75" x14ac:dyDescent="0.2">
      <c r="A95" s="3" t="str">
        <f t="shared" si="11"/>
        <v>98/11/26</v>
      </c>
      <c r="B95" s="3" t="str">
        <f t="shared" si="12"/>
        <v>كالاهاي مصرفي</v>
      </c>
      <c r="C95" s="3" t="str">
        <f t="shared" si="13"/>
        <v>انبار مصرفي ZU1</v>
      </c>
      <c r="D95" s="3" t="str">
        <f>"0204001829"</f>
        <v>0204001829</v>
      </c>
      <c r="E95" s="3" t="str">
        <f>"کاسه نمد4.5*42*30*1.1"</f>
        <v>کاسه نمد4.5*42*30*1.1</v>
      </c>
      <c r="F95" s="3" t="str">
        <f t="shared" si="10"/>
        <v>عدد</v>
      </c>
      <c r="G95" s="3">
        <v>5</v>
      </c>
      <c r="H95" s="5">
        <v>200000</v>
      </c>
    </row>
    <row r="96" spans="1:8" ht="18.75" x14ac:dyDescent="0.2">
      <c r="A96" s="3" t="str">
        <f t="shared" si="11"/>
        <v>98/11/26</v>
      </c>
      <c r="B96" s="3" t="str">
        <f t="shared" si="12"/>
        <v>كالاهاي مصرفي</v>
      </c>
      <c r="C96" s="3" t="str">
        <f>"انبار مركزي ( عمومي )"</f>
        <v>انبار مركزي ( عمومي )</v>
      </c>
      <c r="D96" s="3" t="str">
        <f>"0206000333"</f>
        <v>0206000333</v>
      </c>
      <c r="E96" s="3" t="str">
        <f>"سه راهي سبز 1/2"</f>
        <v>سه راهي سبز 1/2</v>
      </c>
      <c r="F96" s="3" t="str">
        <f t="shared" ref="F96:F127" si="14">"عدد"</f>
        <v>عدد</v>
      </c>
      <c r="G96" s="3">
        <v>20</v>
      </c>
      <c r="H96" s="5">
        <v>200000</v>
      </c>
    </row>
    <row r="97" spans="1:8" ht="18.75" x14ac:dyDescent="0.2">
      <c r="A97" s="3" t="str">
        <f t="shared" si="11"/>
        <v>98/11/26</v>
      </c>
      <c r="B97" s="3" t="str">
        <f t="shared" si="12"/>
        <v>كالاهاي مصرفي</v>
      </c>
      <c r="C97" s="3" t="str">
        <f t="shared" ref="C97:C113" si="15">"انبار مصرفي ZU1"</f>
        <v>انبار مصرفي ZU1</v>
      </c>
      <c r="D97" s="3" t="str">
        <f>"0213000114"</f>
        <v>0213000114</v>
      </c>
      <c r="E97" s="3" t="str">
        <f>"واشر قفلي M6"</f>
        <v>واشر قفلي M6</v>
      </c>
      <c r="F97" s="3" t="str">
        <f t="shared" si="14"/>
        <v>عدد</v>
      </c>
      <c r="G97" s="3">
        <v>20</v>
      </c>
      <c r="H97" s="5">
        <v>200000</v>
      </c>
    </row>
    <row r="98" spans="1:8" ht="18.75" x14ac:dyDescent="0.2">
      <c r="A98" s="3" t="str">
        <f t="shared" si="11"/>
        <v>98/11/26</v>
      </c>
      <c r="B98" s="3" t="str">
        <f t="shared" si="12"/>
        <v>كالاهاي مصرفي</v>
      </c>
      <c r="C98" s="3" t="str">
        <f t="shared" si="15"/>
        <v>انبار مصرفي ZU1</v>
      </c>
      <c r="D98" s="3" t="str">
        <f>"0204000893"</f>
        <v>0204000893</v>
      </c>
      <c r="E98" s="3" t="str">
        <f>"خار چشمي DIN472 M32 داخلي"</f>
        <v>خار چشمي DIN472 M32 داخلي</v>
      </c>
      <c r="F98" s="3" t="str">
        <f t="shared" si="14"/>
        <v>عدد</v>
      </c>
      <c r="G98" s="3">
        <v>40</v>
      </c>
      <c r="H98" s="5">
        <v>200200</v>
      </c>
    </row>
    <row r="99" spans="1:8" ht="18.75" x14ac:dyDescent="0.2">
      <c r="A99" s="3" t="str">
        <f t="shared" si="11"/>
        <v>98/11/26</v>
      </c>
      <c r="B99" s="3" t="str">
        <f t="shared" si="12"/>
        <v>كالاهاي مصرفي</v>
      </c>
      <c r="C99" s="3" t="str">
        <f t="shared" si="15"/>
        <v>انبار مصرفي ZU1</v>
      </c>
      <c r="D99" s="3" t="str">
        <f>"0204000922"</f>
        <v>0204000922</v>
      </c>
      <c r="E99" s="3" t="str">
        <f>"خار چشمي DIN471 M58 خارجي"</f>
        <v>خار چشمي DIN471 M58 خارجي</v>
      </c>
      <c r="F99" s="3" t="str">
        <f t="shared" si="14"/>
        <v>عدد</v>
      </c>
      <c r="G99" s="3">
        <v>18</v>
      </c>
      <c r="H99" s="5">
        <v>204120</v>
      </c>
    </row>
    <row r="100" spans="1:8" ht="18.75" x14ac:dyDescent="0.2">
      <c r="A100" s="3" t="str">
        <f t="shared" si="11"/>
        <v>98/11/26</v>
      </c>
      <c r="B100" s="3" t="str">
        <f t="shared" si="12"/>
        <v>كالاهاي مصرفي</v>
      </c>
      <c r="C100" s="3" t="str">
        <f t="shared" si="15"/>
        <v>انبار مصرفي ZU1</v>
      </c>
      <c r="D100" s="3" t="str">
        <f>"0204000895"</f>
        <v>0204000895</v>
      </c>
      <c r="E100" s="3" t="str">
        <f>"خار چشمي DIN472 M34 داخلي"</f>
        <v>خار چشمي DIN472 M34 داخلي</v>
      </c>
      <c r="F100" s="3" t="str">
        <f t="shared" si="14"/>
        <v>عدد</v>
      </c>
      <c r="G100" s="3">
        <v>40</v>
      </c>
      <c r="H100" s="5">
        <v>208860</v>
      </c>
    </row>
    <row r="101" spans="1:8" ht="18.75" x14ac:dyDescent="0.2">
      <c r="A101" s="3" t="str">
        <f t="shared" si="11"/>
        <v>98/11/26</v>
      </c>
      <c r="B101" s="3" t="str">
        <f t="shared" si="12"/>
        <v>كالاهاي مصرفي</v>
      </c>
      <c r="C101" s="3" t="str">
        <f t="shared" si="15"/>
        <v>انبار مصرفي ZU1</v>
      </c>
      <c r="D101" s="3" t="str">
        <f>"0204000870"</f>
        <v>0204000870</v>
      </c>
      <c r="E101" s="3" t="str">
        <f>"خار چشمي DIN471 M10 خارجي"</f>
        <v>خار چشمي DIN471 M10 خارجي</v>
      </c>
      <c r="F101" s="3" t="str">
        <f t="shared" si="14"/>
        <v>عدد</v>
      </c>
      <c r="G101" s="3">
        <v>30</v>
      </c>
      <c r="H101" s="5">
        <v>211060</v>
      </c>
    </row>
    <row r="102" spans="1:8" ht="18.75" x14ac:dyDescent="0.2">
      <c r="A102" s="3" t="str">
        <f t="shared" si="11"/>
        <v>98/11/26</v>
      </c>
      <c r="B102" s="3" t="str">
        <f t="shared" si="12"/>
        <v>كالاهاي مصرفي</v>
      </c>
      <c r="C102" s="3" t="str">
        <f t="shared" si="15"/>
        <v>انبار مصرفي ZU1</v>
      </c>
      <c r="D102" s="3" t="str">
        <f>"0204000952"</f>
        <v>0204000952</v>
      </c>
      <c r="E102" s="3" t="str">
        <f>"بيرينگ 6208 2RS/C3"</f>
        <v>بيرينگ 6208 2RS/C3</v>
      </c>
      <c r="F102" s="3" t="str">
        <f t="shared" si="14"/>
        <v>عدد</v>
      </c>
      <c r="G102" s="3">
        <v>1</v>
      </c>
      <c r="H102" s="5">
        <v>212500</v>
      </c>
    </row>
    <row r="103" spans="1:8" ht="18.75" x14ac:dyDescent="0.2">
      <c r="A103" s="3" t="str">
        <f t="shared" si="11"/>
        <v>98/11/26</v>
      </c>
      <c r="B103" s="3" t="str">
        <f t="shared" si="12"/>
        <v>كالاهاي مصرفي</v>
      </c>
      <c r="C103" s="3" t="str">
        <f t="shared" si="15"/>
        <v>انبار مصرفي ZU1</v>
      </c>
      <c r="D103" s="3" t="str">
        <f>"0213000190"</f>
        <v>0213000190</v>
      </c>
      <c r="E103" s="3" t="str">
        <f>"واشر مسي M12"</f>
        <v>واشر مسي M12</v>
      </c>
      <c r="F103" s="3" t="str">
        <f t="shared" si="14"/>
        <v>عدد</v>
      </c>
      <c r="G103" s="3">
        <v>80</v>
      </c>
      <c r="H103" s="5">
        <v>216000</v>
      </c>
    </row>
    <row r="104" spans="1:8" ht="18.75" x14ac:dyDescent="0.2">
      <c r="A104" s="3" t="str">
        <f t="shared" si="11"/>
        <v>98/11/26</v>
      </c>
      <c r="B104" s="3" t="str">
        <f t="shared" si="12"/>
        <v>كالاهاي مصرفي</v>
      </c>
      <c r="C104" s="3" t="str">
        <f t="shared" si="15"/>
        <v>انبار مصرفي ZU1</v>
      </c>
      <c r="D104" s="3" t="str">
        <f>"0213000388"</f>
        <v>0213000388</v>
      </c>
      <c r="E104" s="3" t="str">
        <f>"پيچ يك سر رزوه كربن استيل M12*35"</f>
        <v>پيچ يك سر رزوه كربن استيل M12*35</v>
      </c>
      <c r="F104" s="3" t="str">
        <f t="shared" si="14"/>
        <v>عدد</v>
      </c>
      <c r="G104" s="3">
        <v>50</v>
      </c>
      <c r="H104" s="5">
        <v>217900</v>
      </c>
    </row>
    <row r="105" spans="1:8" ht="18.75" x14ac:dyDescent="0.2">
      <c r="A105" s="3" t="str">
        <f t="shared" si="11"/>
        <v>98/11/26</v>
      </c>
      <c r="B105" s="3" t="str">
        <f t="shared" si="12"/>
        <v>كالاهاي مصرفي</v>
      </c>
      <c r="C105" s="3" t="str">
        <f t="shared" si="15"/>
        <v>انبار مصرفي ZU1</v>
      </c>
      <c r="D105" s="3" t="str">
        <f>"0204000904"</f>
        <v>0204000904</v>
      </c>
      <c r="E105" s="3" t="str">
        <f>"خار چشمي DIN471 M40 خارجي"</f>
        <v>خار چشمي DIN471 M40 خارجي</v>
      </c>
      <c r="F105" s="3" t="str">
        <f t="shared" si="14"/>
        <v>عدد</v>
      </c>
      <c r="G105" s="3">
        <v>30</v>
      </c>
      <c r="H105" s="5">
        <v>220140</v>
      </c>
    </row>
    <row r="106" spans="1:8" ht="18.75" x14ac:dyDescent="0.2">
      <c r="A106" s="3" t="str">
        <f t="shared" si="11"/>
        <v>98/11/26</v>
      </c>
      <c r="B106" s="3" t="str">
        <f t="shared" si="12"/>
        <v>كالاهاي مصرفي</v>
      </c>
      <c r="C106" s="3" t="str">
        <f t="shared" si="15"/>
        <v>انبار مصرفي ZU1</v>
      </c>
      <c r="D106" s="3" t="str">
        <f>"0204000906"</f>
        <v>0204000906</v>
      </c>
      <c r="E106" s="3" t="str">
        <f>"خار چشمي DIN471 M42 خارجي"</f>
        <v>خار چشمي DIN471 M42 خارجي</v>
      </c>
      <c r="F106" s="3" t="str">
        <f t="shared" si="14"/>
        <v>عدد</v>
      </c>
      <c r="G106" s="3">
        <v>29</v>
      </c>
      <c r="H106" s="5">
        <v>221400</v>
      </c>
    </row>
    <row r="107" spans="1:8" ht="18.75" x14ac:dyDescent="0.2">
      <c r="A107" s="3" t="str">
        <f t="shared" si="11"/>
        <v>98/11/26</v>
      </c>
      <c r="B107" s="3" t="str">
        <f t="shared" si="12"/>
        <v>كالاهاي مصرفي</v>
      </c>
      <c r="C107" s="3" t="str">
        <f t="shared" si="15"/>
        <v>انبار مصرفي ZU1</v>
      </c>
      <c r="D107" s="3" t="str">
        <f>"0204000006"</f>
        <v>0204000006</v>
      </c>
      <c r="E107" s="3" t="str">
        <f>"بيرينگ 2Z/C3-6204"</f>
        <v>بيرينگ 2Z/C3-6204</v>
      </c>
      <c r="F107" s="3" t="str">
        <f t="shared" si="14"/>
        <v>عدد</v>
      </c>
      <c r="G107" s="3">
        <v>1</v>
      </c>
      <c r="H107" s="5">
        <v>221569</v>
      </c>
    </row>
    <row r="108" spans="1:8" ht="18.75" x14ac:dyDescent="0.2">
      <c r="A108" s="3" t="str">
        <f t="shared" si="11"/>
        <v>98/11/26</v>
      </c>
      <c r="B108" s="3" t="str">
        <f t="shared" si="12"/>
        <v>كالاهاي مصرفي</v>
      </c>
      <c r="C108" s="3" t="str">
        <f t="shared" si="15"/>
        <v>انبار مصرفي ZU1</v>
      </c>
      <c r="D108" s="3" t="str">
        <f>"0204001826"</f>
        <v>0204001826</v>
      </c>
      <c r="E108" s="3" t="str">
        <f>"کاسه نمد 8*50*30"</f>
        <v>کاسه نمد 8*50*30</v>
      </c>
      <c r="F108" s="3" t="str">
        <f t="shared" si="14"/>
        <v>عدد</v>
      </c>
      <c r="G108" s="3">
        <v>5</v>
      </c>
      <c r="H108" s="5">
        <v>225000</v>
      </c>
    </row>
    <row r="109" spans="1:8" ht="18.75" x14ac:dyDescent="0.2">
      <c r="A109" s="3" t="str">
        <f t="shared" si="11"/>
        <v>98/11/26</v>
      </c>
      <c r="B109" s="3" t="str">
        <f t="shared" si="12"/>
        <v>كالاهاي مصرفي</v>
      </c>
      <c r="C109" s="3" t="str">
        <f t="shared" si="15"/>
        <v>انبار مصرفي ZU1</v>
      </c>
      <c r="D109" s="3" t="str">
        <f>"0213000366"</f>
        <v>0213000366</v>
      </c>
      <c r="E109" s="3" t="str">
        <f>"پيچ يك سر رزوه كربن استيل M6*15"</f>
        <v>پيچ يك سر رزوه كربن استيل M6*15</v>
      </c>
      <c r="F109" s="3" t="str">
        <f t="shared" si="14"/>
        <v>عدد</v>
      </c>
      <c r="G109" s="3">
        <v>138</v>
      </c>
      <c r="H109" s="5">
        <v>225522</v>
      </c>
    </row>
    <row r="110" spans="1:8" ht="18.75" x14ac:dyDescent="0.2">
      <c r="A110" s="3" t="str">
        <f t="shared" si="11"/>
        <v>98/11/26</v>
      </c>
      <c r="B110" s="3" t="str">
        <f t="shared" si="12"/>
        <v>كالاهاي مصرفي</v>
      </c>
      <c r="C110" s="3" t="str">
        <f t="shared" si="15"/>
        <v>انبار مصرفي ZU1</v>
      </c>
      <c r="D110" s="3" t="str">
        <f>"0213000166"</f>
        <v>0213000166</v>
      </c>
      <c r="E110" s="3" t="str">
        <f>"واشر تخت M22"</f>
        <v>واشر تخت M22</v>
      </c>
      <c r="F110" s="3" t="str">
        <f t="shared" si="14"/>
        <v>عدد</v>
      </c>
      <c r="G110" s="3">
        <v>56</v>
      </c>
      <c r="H110" s="5">
        <v>226200</v>
      </c>
    </row>
    <row r="111" spans="1:8" ht="18.75" x14ac:dyDescent="0.2">
      <c r="A111" s="3" t="str">
        <f t="shared" si="11"/>
        <v>98/11/26</v>
      </c>
      <c r="B111" s="3" t="str">
        <f t="shared" si="12"/>
        <v>كالاهاي مصرفي</v>
      </c>
      <c r="C111" s="3" t="str">
        <f t="shared" si="15"/>
        <v>انبار مصرفي ZU1</v>
      </c>
      <c r="D111" s="3" t="str">
        <f>"0213000445"</f>
        <v>0213000445</v>
      </c>
      <c r="E111" s="3" t="str">
        <f>"واشر كربن استيل M12"</f>
        <v>واشر كربن استيل M12</v>
      </c>
      <c r="F111" s="3" t="str">
        <f t="shared" si="14"/>
        <v>عدد</v>
      </c>
      <c r="G111" s="3">
        <v>108</v>
      </c>
      <c r="H111" s="5">
        <v>226800</v>
      </c>
    </row>
    <row r="112" spans="1:8" ht="18.75" x14ac:dyDescent="0.2">
      <c r="A112" s="3" t="str">
        <f t="shared" si="11"/>
        <v>98/11/26</v>
      </c>
      <c r="B112" s="3" t="str">
        <f t="shared" si="12"/>
        <v>كالاهاي مصرفي</v>
      </c>
      <c r="C112" s="3" t="str">
        <f t="shared" si="15"/>
        <v>انبار مصرفي ZU1</v>
      </c>
      <c r="D112" s="3" t="str">
        <f>"0204000926"</f>
        <v>0204000926</v>
      </c>
      <c r="E112" s="3" t="str">
        <f>"خار چشمي DIN471 M62 خارجي"</f>
        <v>خار چشمي DIN471 M62 خارجي</v>
      </c>
      <c r="F112" s="3" t="str">
        <f t="shared" si="14"/>
        <v>عدد</v>
      </c>
      <c r="G112" s="3">
        <v>19</v>
      </c>
      <c r="H112" s="5">
        <v>230850</v>
      </c>
    </row>
    <row r="113" spans="1:8" ht="18.75" x14ac:dyDescent="0.2">
      <c r="A113" s="3" t="str">
        <f t="shared" si="11"/>
        <v>98/11/26</v>
      </c>
      <c r="B113" s="3" t="str">
        <f t="shared" si="12"/>
        <v>كالاهاي مصرفي</v>
      </c>
      <c r="C113" s="3" t="str">
        <f t="shared" si="15"/>
        <v>انبار مصرفي ZU1</v>
      </c>
      <c r="D113" s="3" t="str">
        <f>"0204000924"</f>
        <v>0204000924</v>
      </c>
      <c r="E113" s="3" t="str">
        <f>"خار چشمي DIN471 M60 خارجي"</f>
        <v>خار چشمي DIN471 M60 خارجي</v>
      </c>
      <c r="F113" s="3" t="str">
        <f t="shared" si="14"/>
        <v>عدد</v>
      </c>
      <c r="G113" s="3">
        <v>20</v>
      </c>
      <c r="H113" s="5">
        <v>233560</v>
      </c>
    </row>
    <row r="114" spans="1:8" ht="18.75" x14ac:dyDescent="0.2">
      <c r="A114" s="3" t="str">
        <f t="shared" si="11"/>
        <v>98/11/26</v>
      </c>
      <c r="B114" s="3" t="str">
        <f t="shared" si="12"/>
        <v>كالاهاي مصرفي</v>
      </c>
      <c r="C114" s="3" t="str">
        <f>"انبار مركزي ( عمومي )"</f>
        <v>انبار مركزي ( عمومي )</v>
      </c>
      <c r="D114" s="3" t="str">
        <f>"0206000351"</f>
        <v>0206000351</v>
      </c>
      <c r="E114" s="3" t="str">
        <f>"زانو پوليكا 5 اينچ 45 درجه"</f>
        <v>زانو پوليكا 5 اينچ 45 درجه</v>
      </c>
      <c r="F114" s="3" t="str">
        <f t="shared" si="14"/>
        <v>عدد</v>
      </c>
      <c r="G114" s="3">
        <v>1</v>
      </c>
      <c r="H114" s="5">
        <v>234099</v>
      </c>
    </row>
    <row r="115" spans="1:8" ht="18.75" x14ac:dyDescent="0.2">
      <c r="A115" s="3" t="str">
        <f t="shared" si="11"/>
        <v>98/11/26</v>
      </c>
      <c r="B115" s="3" t="str">
        <f t="shared" si="12"/>
        <v>كالاهاي مصرفي</v>
      </c>
      <c r="C115" s="3" t="str">
        <f>"انبار مركزي ( عمومي )"</f>
        <v>انبار مركزي ( عمومي )</v>
      </c>
      <c r="D115" s="3" t="str">
        <f>"0206000196"</f>
        <v>0206000196</v>
      </c>
      <c r="E115" s="3" t="str">
        <f>"بست فلزي ديواري 2 اينچ"</f>
        <v>بست فلزي ديواري 2 اينچ</v>
      </c>
      <c r="F115" s="3" t="str">
        <f t="shared" si="14"/>
        <v>عدد</v>
      </c>
      <c r="G115" s="3">
        <v>10</v>
      </c>
      <c r="H115" s="5">
        <v>235577</v>
      </c>
    </row>
    <row r="116" spans="1:8" ht="18.75" x14ac:dyDescent="0.2">
      <c r="A116" s="3" t="str">
        <f t="shared" si="11"/>
        <v>98/11/26</v>
      </c>
      <c r="B116" s="3" t="str">
        <f t="shared" si="12"/>
        <v>كالاهاي مصرفي</v>
      </c>
      <c r="C116" s="3" t="str">
        <f>"انبار مركزي ( عمومي )"</f>
        <v>انبار مركزي ( عمومي )</v>
      </c>
      <c r="D116" s="3" t="str">
        <f>"0203000067"</f>
        <v>0203000067</v>
      </c>
      <c r="E116" s="3" t="str">
        <f>"متر پارچه اي 50 متري"</f>
        <v>متر پارچه اي 50 متري</v>
      </c>
      <c r="F116" s="3" t="str">
        <f t="shared" si="14"/>
        <v>عدد</v>
      </c>
      <c r="G116" s="3">
        <v>1</v>
      </c>
      <c r="H116" s="5">
        <v>237500</v>
      </c>
    </row>
    <row r="117" spans="1:8" ht="18.75" x14ac:dyDescent="0.2">
      <c r="A117" s="3" t="str">
        <f t="shared" si="11"/>
        <v>98/11/26</v>
      </c>
      <c r="B117" s="3" t="str">
        <f t="shared" si="12"/>
        <v>كالاهاي مصرفي</v>
      </c>
      <c r="C117" s="3" t="str">
        <f>"انبار مصرفي ZU1"</f>
        <v>انبار مصرفي ZU1</v>
      </c>
      <c r="D117" s="3" t="str">
        <f>"0206000534"</f>
        <v>0206000534</v>
      </c>
      <c r="E117" s="3" t="str">
        <f>"فلنج پلي اتيلن 125 -16 اتمسفر -  پي 100"</f>
        <v>فلنج پلي اتيلن 125 -16 اتمسفر -  پي 100</v>
      </c>
      <c r="F117" s="3" t="str">
        <f t="shared" si="14"/>
        <v>عدد</v>
      </c>
      <c r="G117" s="3">
        <v>1</v>
      </c>
      <c r="H117" s="5">
        <v>240000</v>
      </c>
    </row>
    <row r="118" spans="1:8" ht="18.75" x14ac:dyDescent="0.2">
      <c r="A118" s="3" t="str">
        <f t="shared" si="11"/>
        <v>98/11/26</v>
      </c>
      <c r="B118" s="3" t="str">
        <f t="shared" si="12"/>
        <v>كالاهاي مصرفي</v>
      </c>
      <c r="C118" s="3" t="str">
        <f>"انبار مصرفي ZU1"</f>
        <v>انبار مصرفي ZU1</v>
      </c>
      <c r="D118" s="3" t="str">
        <f>"0213000370"</f>
        <v>0213000370</v>
      </c>
      <c r="E118" s="3" t="str">
        <f>"پيچ يك سر رزوه كربن استيل M6*25"</f>
        <v>پيچ يك سر رزوه كربن استيل M6*25</v>
      </c>
      <c r="F118" s="3" t="str">
        <f t="shared" si="14"/>
        <v>عدد</v>
      </c>
      <c r="G118" s="3">
        <v>150</v>
      </c>
      <c r="H118" s="5">
        <v>243100</v>
      </c>
    </row>
    <row r="119" spans="1:8" ht="18.75" x14ac:dyDescent="0.2">
      <c r="A119" s="3" t="str">
        <f t="shared" si="11"/>
        <v>98/11/26</v>
      </c>
      <c r="B119" s="3" t="str">
        <f t="shared" si="12"/>
        <v>كالاهاي مصرفي</v>
      </c>
      <c r="C119" s="3" t="str">
        <f>"انبار مصرفي ZU1"</f>
        <v>انبار مصرفي ZU1</v>
      </c>
      <c r="D119" s="3" t="str">
        <f>"0213000164"</f>
        <v>0213000164</v>
      </c>
      <c r="E119" s="3" t="str">
        <f>"واشر تخت M8"</f>
        <v>واشر تخت M8</v>
      </c>
      <c r="F119" s="3" t="str">
        <f t="shared" si="14"/>
        <v>عدد</v>
      </c>
      <c r="G119" s="3">
        <v>490</v>
      </c>
      <c r="H119" s="5">
        <v>249848</v>
      </c>
    </row>
    <row r="120" spans="1:8" ht="18.75" x14ac:dyDescent="0.2">
      <c r="A120" s="3" t="str">
        <f t="shared" si="11"/>
        <v>98/11/26</v>
      </c>
      <c r="B120" s="3" t="str">
        <f t="shared" si="12"/>
        <v>كالاهاي مصرفي</v>
      </c>
      <c r="C120" s="3" t="str">
        <f>"انبار مصرفي ZU1"</f>
        <v>انبار مصرفي ZU1</v>
      </c>
      <c r="D120" s="3" t="str">
        <f>"0204000295"</f>
        <v>0204000295</v>
      </c>
      <c r="E120" s="3" t="str">
        <f>"كاسه نمد 8*58*35"</f>
        <v>كاسه نمد 8*58*35</v>
      </c>
      <c r="F120" s="3" t="str">
        <f t="shared" si="14"/>
        <v>عدد</v>
      </c>
      <c r="G120" s="3">
        <v>5</v>
      </c>
      <c r="H120" s="5">
        <v>250000</v>
      </c>
    </row>
    <row r="121" spans="1:8" ht="18.75" x14ac:dyDescent="0.2">
      <c r="A121" s="3" t="str">
        <f t="shared" si="11"/>
        <v>98/11/26</v>
      </c>
      <c r="B121" s="3" t="str">
        <f t="shared" si="12"/>
        <v>كالاهاي مصرفي</v>
      </c>
      <c r="C121" s="3" t="str">
        <f>"انبار مركزي ( عمومي )"</f>
        <v>انبار مركزي ( عمومي )</v>
      </c>
      <c r="D121" s="3" t="str">
        <f>"0213000619"</f>
        <v>0213000619</v>
      </c>
      <c r="E121" s="3" t="str">
        <f>"پيچ شماره 8"</f>
        <v>پيچ شماره 8</v>
      </c>
      <c r="F121" s="3" t="str">
        <f t="shared" si="14"/>
        <v>عدد</v>
      </c>
      <c r="G121" s="3">
        <v>250</v>
      </c>
      <c r="H121" s="5">
        <v>250000</v>
      </c>
    </row>
    <row r="122" spans="1:8" ht="18.75" x14ac:dyDescent="0.2">
      <c r="A122" s="3" t="str">
        <f t="shared" si="11"/>
        <v>98/11/26</v>
      </c>
      <c r="B122" s="3" t="str">
        <f t="shared" si="12"/>
        <v>كالاهاي مصرفي</v>
      </c>
      <c r="C122" s="3" t="str">
        <f>"انبار مصرفي ZU1"</f>
        <v>انبار مصرفي ZU1</v>
      </c>
      <c r="D122" s="3" t="str">
        <f>"0204001295"</f>
        <v>0204001295</v>
      </c>
      <c r="E122" s="3" t="str">
        <f>"کاسه نمد 8*65*50"</f>
        <v>کاسه نمد 8*65*50</v>
      </c>
      <c r="F122" s="3" t="str">
        <f t="shared" si="14"/>
        <v>عدد</v>
      </c>
      <c r="G122" s="3">
        <v>2</v>
      </c>
      <c r="H122" s="5">
        <v>253000</v>
      </c>
    </row>
    <row r="123" spans="1:8" ht="18.75" x14ac:dyDescent="0.2">
      <c r="A123" s="3" t="str">
        <f t="shared" si="11"/>
        <v>98/11/26</v>
      </c>
      <c r="B123" s="3" t="str">
        <f t="shared" si="12"/>
        <v>كالاهاي مصرفي</v>
      </c>
      <c r="C123" s="3" t="str">
        <f>"انبار مصرفي ZU1"</f>
        <v>انبار مصرفي ZU1</v>
      </c>
      <c r="D123" s="3" t="str">
        <f>"0204001259"</f>
        <v>0204001259</v>
      </c>
      <c r="E123" s="3" t="str">
        <f>"کاسه نمد 7*25*35"</f>
        <v>کاسه نمد 7*25*35</v>
      </c>
      <c r="F123" s="3" t="str">
        <f t="shared" si="14"/>
        <v>عدد</v>
      </c>
      <c r="G123" s="3">
        <v>4</v>
      </c>
      <c r="H123" s="5">
        <v>253333</v>
      </c>
    </row>
    <row r="124" spans="1:8" ht="18.75" x14ac:dyDescent="0.2">
      <c r="A124" s="3" t="str">
        <f t="shared" si="11"/>
        <v>98/11/26</v>
      </c>
      <c r="B124" s="3" t="str">
        <f t="shared" si="12"/>
        <v>كالاهاي مصرفي</v>
      </c>
      <c r="C124" s="3" t="str">
        <f>"انبار مصرفي ZU1"</f>
        <v>انبار مصرفي ZU1</v>
      </c>
      <c r="D124" s="3" t="str">
        <f>"0213000029"</f>
        <v>0213000029</v>
      </c>
      <c r="E124" s="3" t="str">
        <f>"پيچ M16*45"</f>
        <v>پيچ M16*45</v>
      </c>
      <c r="F124" s="3" t="str">
        <f t="shared" si="14"/>
        <v>عدد</v>
      </c>
      <c r="G124" s="3">
        <v>20</v>
      </c>
      <c r="H124" s="5">
        <v>255000</v>
      </c>
    </row>
    <row r="125" spans="1:8" ht="18.75" x14ac:dyDescent="0.2">
      <c r="A125" s="3" t="str">
        <f t="shared" si="11"/>
        <v>98/11/26</v>
      </c>
      <c r="B125" s="3" t="str">
        <f t="shared" si="12"/>
        <v>كالاهاي مصرفي</v>
      </c>
      <c r="C125" s="3" t="str">
        <f>"انبار مركزي ( عمومي )"</f>
        <v>انبار مركزي ( عمومي )</v>
      </c>
      <c r="D125" s="3" t="str">
        <f>"0213000949"</f>
        <v>0213000949</v>
      </c>
      <c r="E125" s="3" t="str">
        <f>"مته گردبر فلزي 20mm"</f>
        <v>مته گردبر فلزي 20mm</v>
      </c>
      <c r="F125" s="3" t="str">
        <f t="shared" si="14"/>
        <v>عدد</v>
      </c>
      <c r="G125" s="3">
        <v>1</v>
      </c>
      <c r="H125" s="5">
        <v>255000</v>
      </c>
    </row>
    <row r="126" spans="1:8" ht="18.75" x14ac:dyDescent="0.2">
      <c r="A126" s="3" t="str">
        <f t="shared" si="11"/>
        <v>98/11/26</v>
      </c>
      <c r="B126" s="3" t="str">
        <f t="shared" si="12"/>
        <v>كالاهاي مصرفي</v>
      </c>
      <c r="C126" s="3" t="str">
        <f>"انبار مصرفي ZU1"</f>
        <v>انبار مصرفي ZU1</v>
      </c>
      <c r="D126" s="3" t="str">
        <f>"0213000191"</f>
        <v>0213000191</v>
      </c>
      <c r="E126" s="3" t="str">
        <f>"واشر مسي M14"</f>
        <v>واشر مسي M14</v>
      </c>
      <c r="F126" s="3" t="str">
        <f t="shared" si="14"/>
        <v>عدد</v>
      </c>
      <c r="G126" s="3">
        <v>76</v>
      </c>
      <c r="H126" s="5">
        <v>262200</v>
      </c>
    </row>
    <row r="127" spans="1:8" ht="18.75" x14ac:dyDescent="0.2">
      <c r="A127" s="3" t="str">
        <f t="shared" si="11"/>
        <v>98/11/26</v>
      </c>
      <c r="B127" s="3" t="str">
        <f t="shared" si="12"/>
        <v>كالاهاي مصرفي</v>
      </c>
      <c r="C127" s="3" t="str">
        <f>"انبار مصرفي ZU1"</f>
        <v>انبار مصرفي ZU1</v>
      </c>
      <c r="D127" s="3" t="str">
        <f>"0203000117"</f>
        <v>0203000117</v>
      </c>
      <c r="E127" s="3" t="str">
        <f>"چكش   200 گرمي"</f>
        <v>چكش   200 گرمي</v>
      </c>
      <c r="F127" s="3" t="str">
        <f t="shared" si="14"/>
        <v>عدد</v>
      </c>
      <c r="G127" s="3">
        <v>3</v>
      </c>
      <c r="H127" s="5">
        <v>262500</v>
      </c>
    </row>
    <row r="128" spans="1:8" ht="18.75" x14ac:dyDescent="0.2">
      <c r="A128" s="3" t="str">
        <f t="shared" si="11"/>
        <v>98/11/26</v>
      </c>
      <c r="B128" s="3" t="str">
        <f t="shared" si="12"/>
        <v>كالاهاي مصرفي</v>
      </c>
      <c r="C128" s="3" t="str">
        <f>"انبار مركزي ( عمومي )"</f>
        <v>انبار مركزي ( عمومي )</v>
      </c>
      <c r="D128" s="3" t="str">
        <f>"0213000755"</f>
        <v>0213000755</v>
      </c>
      <c r="E128" s="3" t="str">
        <f>"رولپلاك نمره 10"</f>
        <v>رولپلاك نمره 10</v>
      </c>
      <c r="F128" s="3" t="str">
        <f>"بسته"</f>
        <v>بسته</v>
      </c>
      <c r="G128" s="3">
        <v>3</v>
      </c>
      <c r="H128" s="5">
        <v>263572</v>
      </c>
    </row>
    <row r="129" spans="1:8" ht="18.75" x14ac:dyDescent="0.2">
      <c r="A129" s="3" t="str">
        <f t="shared" si="11"/>
        <v>98/11/26</v>
      </c>
      <c r="B129" s="3" t="str">
        <f t="shared" si="12"/>
        <v>كالاهاي مصرفي</v>
      </c>
      <c r="C129" s="3" t="str">
        <f>"انبار مركزي ( عمومي )"</f>
        <v>انبار مركزي ( عمومي )</v>
      </c>
      <c r="D129" s="3" t="str">
        <f>"0601000030"</f>
        <v>0601000030</v>
      </c>
      <c r="E129" s="3" t="str">
        <f>"گوشي صداگير اسفنجي (داخل گوش )"</f>
        <v>گوشي صداگير اسفنجي (داخل گوش )</v>
      </c>
      <c r="F129" s="3" t="str">
        <f t="shared" ref="F129:F135" si="16">"عدد"</f>
        <v>عدد</v>
      </c>
      <c r="G129" s="3">
        <v>29</v>
      </c>
      <c r="H129" s="5">
        <v>268601</v>
      </c>
    </row>
    <row r="130" spans="1:8" ht="18.75" x14ac:dyDescent="0.2">
      <c r="A130" s="3" t="str">
        <f t="shared" ref="A130:A193" si="17">"98/11/26"</f>
        <v>98/11/26</v>
      </c>
      <c r="B130" s="3" t="str">
        <f t="shared" ref="B130:B193" si="18">"كالاهاي مصرفي"</f>
        <v>كالاهاي مصرفي</v>
      </c>
      <c r="C130" s="3" t="str">
        <f t="shared" ref="C130:C141" si="19">"انبار مصرفي ZU1"</f>
        <v>انبار مصرفي ZU1</v>
      </c>
      <c r="D130" s="3" t="str">
        <f>"0204000859"</f>
        <v>0204000859</v>
      </c>
      <c r="E130" s="3" t="str">
        <f>"کاسه نمد 7*42*30"</f>
        <v>کاسه نمد 7*42*30</v>
      </c>
      <c r="F130" s="3" t="str">
        <f t="shared" si="16"/>
        <v>عدد</v>
      </c>
      <c r="G130" s="3">
        <v>2</v>
      </c>
      <c r="H130" s="5">
        <v>270074</v>
      </c>
    </row>
    <row r="131" spans="1:8" ht="18.75" x14ac:dyDescent="0.2">
      <c r="A131" s="3" t="str">
        <f t="shared" si="17"/>
        <v>98/11/26</v>
      </c>
      <c r="B131" s="3" t="str">
        <f t="shared" si="18"/>
        <v>كالاهاي مصرفي</v>
      </c>
      <c r="C131" s="3" t="str">
        <f t="shared" si="19"/>
        <v>انبار مصرفي ZU1</v>
      </c>
      <c r="D131" s="3" t="str">
        <f>"0204001245"</f>
        <v>0204001245</v>
      </c>
      <c r="E131" s="3" t="str">
        <f>"بيرينگ 6203 2RS C3"</f>
        <v>بيرينگ 6203 2RS C3</v>
      </c>
      <c r="F131" s="3" t="str">
        <f t="shared" si="16"/>
        <v>عدد</v>
      </c>
      <c r="G131" s="3">
        <v>4</v>
      </c>
      <c r="H131" s="5">
        <v>272000</v>
      </c>
    </row>
    <row r="132" spans="1:8" ht="18.75" x14ac:dyDescent="0.2">
      <c r="A132" s="3" t="str">
        <f t="shared" si="17"/>
        <v>98/11/26</v>
      </c>
      <c r="B132" s="3" t="str">
        <f t="shared" si="18"/>
        <v>كالاهاي مصرفي</v>
      </c>
      <c r="C132" s="3" t="str">
        <f t="shared" si="19"/>
        <v>انبار مصرفي ZU1</v>
      </c>
      <c r="D132" s="3" t="str">
        <f>"0204000901"</f>
        <v>0204000901</v>
      </c>
      <c r="E132" s="3" t="str">
        <f>"خار چشمي DIN472 M38 داخلي"</f>
        <v>خار چشمي DIN472 M38 داخلي</v>
      </c>
      <c r="F132" s="3" t="str">
        <f t="shared" si="16"/>
        <v>عدد</v>
      </c>
      <c r="G132" s="3">
        <v>40</v>
      </c>
      <c r="H132" s="5">
        <v>272600</v>
      </c>
    </row>
    <row r="133" spans="1:8" ht="18.75" x14ac:dyDescent="0.2">
      <c r="A133" s="3" t="str">
        <f t="shared" si="17"/>
        <v>98/11/26</v>
      </c>
      <c r="B133" s="3" t="str">
        <f t="shared" si="18"/>
        <v>كالاهاي مصرفي</v>
      </c>
      <c r="C133" s="3" t="str">
        <f t="shared" si="19"/>
        <v>انبار مصرفي ZU1</v>
      </c>
      <c r="D133" s="3" t="str">
        <f>"0204001482"</f>
        <v>0204001482</v>
      </c>
      <c r="E133" s="3" t="str">
        <f>"كاسه نمد  10*30*52"</f>
        <v>كاسه نمد  10*30*52</v>
      </c>
      <c r="F133" s="3" t="str">
        <f t="shared" si="16"/>
        <v>عدد</v>
      </c>
      <c r="G133" s="3">
        <v>8</v>
      </c>
      <c r="H133" s="5">
        <v>280000</v>
      </c>
    </row>
    <row r="134" spans="1:8" ht="18.75" x14ac:dyDescent="0.2">
      <c r="A134" s="3" t="str">
        <f t="shared" si="17"/>
        <v>98/11/26</v>
      </c>
      <c r="B134" s="3" t="str">
        <f t="shared" si="18"/>
        <v>كالاهاي مصرفي</v>
      </c>
      <c r="C134" s="3" t="str">
        <f t="shared" si="19"/>
        <v>انبار مصرفي ZU1</v>
      </c>
      <c r="D134" s="3" t="str">
        <f>"0204000955"</f>
        <v>0204000955</v>
      </c>
      <c r="E134" s="3" t="str">
        <f>"بيرينگ 2RS/C3-6306"</f>
        <v>بيرينگ 2RS/C3-6306</v>
      </c>
      <c r="F134" s="3" t="str">
        <f t="shared" si="16"/>
        <v>عدد</v>
      </c>
      <c r="G134" s="3">
        <v>1</v>
      </c>
      <c r="H134" s="5">
        <v>286000</v>
      </c>
    </row>
    <row r="135" spans="1:8" ht="18.75" x14ac:dyDescent="0.2">
      <c r="A135" s="3" t="str">
        <f t="shared" si="17"/>
        <v>98/11/26</v>
      </c>
      <c r="B135" s="3" t="str">
        <f t="shared" si="18"/>
        <v>كالاهاي مصرفي</v>
      </c>
      <c r="C135" s="3" t="str">
        <f t="shared" si="19"/>
        <v>انبار مصرفي ZU1</v>
      </c>
      <c r="D135" s="3" t="str">
        <f>"0204000963"</f>
        <v>0204000963</v>
      </c>
      <c r="E135" s="3" t="str">
        <f>"بيرينگ 6201 2RS"</f>
        <v>بيرينگ 6201 2RS</v>
      </c>
      <c r="F135" s="3" t="str">
        <f t="shared" si="16"/>
        <v>عدد</v>
      </c>
      <c r="G135" s="3">
        <v>4</v>
      </c>
      <c r="H135" s="5">
        <v>288000</v>
      </c>
    </row>
    <row r="136" spans="1:8" ht="18.75" x14ac:dyDescent="0.2">
      <c r="A136" s="3" t="str">
        <f t="shared" si="17"/>
        <v>98/11/26</v>
      </c>
      <c r="B136" s="3" t="str">
        <f t="shared" si="18"/>
        <v>كالاهاي مصرفي</v>
      </c>
      <c r="C136" s="3" t="str">
        <f t="shared" si="19"/>
        <v>انبار مصرفي ZU1</v>
      </c>
      <c r="D136" s="3" t="str">
        <f>"0106000088"</f>
        <v>0106000088</v>
      </c>
      <c r="E136" s="3" t="str">
        <f>"گريس 430گرمي poly plus"</f>
        <v>گريس 430گرمي poly plus</v>
      </c>
      <c r="F136" s="3" t="str">
        <f>"قوطي"</f>
        <v>قوطي</v>
      </c>
      <c r="G136" s="3">
        <v>22</v>
      </c>
      <c r="H136" s="5">
        <v>297000</v>
      </c>
    </row>
    <row r="137" spans="1:8" ht="18.75" x14ac:dyDescent="0.2">
      <c r="A137" s="3" t="str">
        <f t="shared" si="17"/>
        <v>98/11/26</v>
      </c>
      <c r="B137" s="3" t="str">
        <f t="shared" si="18"/>
        <v>كالاهاي مصرفي</v>
      </c>
      <c r="C137" s="3" t="str">
        <f t="shared" si="19"/>
        <v>انبار مصرفي ZU1</v>
      </c>
      <c r="D137" s="3" t="str">
        <f>"0204000928"</f>
        <v>0204000928</v>
      </c>
      <c r="E137" s="3" t="str">
        <f>"خار چشمي DIN471 M65 خارجي"</f>
        <v>خار چشمي DIN471 M65 خارجي</v>
      </c>
      <c r="F137" s="3" t="str">
        <f>"عدد"</f>
        <v>عدد</v>
      </c>
      <c r="G137" s="3">
        <v>20</v>
      </c>
      <c r="H137" s="5">
        <v>297000</v>
      </c>
    </row>
    <row r="138" spans="1:8" ht="18.75" x14ac:dyDescent="0.2">
      <c r="A138" s="3" t="str">
        <f t="shared" si="17"/>
        <v>98/11/26</v>
      </c>
      <c r="B138" s="3" t="str">
        <f t="shared" si="18"/>
        <v>كالاهاي مصرفي</v>
      </c>
      <c r="C138" s="3" t="str">
        <f t="shared" si="19"/>
        <v>انبار مصرفي ZU1</v>
      </c>
      <c r="D138" s="3" t="str">
        <f>"0204000930"</f>
        <v>0204000930</v>
      </c>
      <c r="E138" s="3" t="str">
        <f>"خار چشمي DIN471 M68 خارجي"</f>
        <v>خار چشمي DIN471 M68 خارجي</v>
      </c>
      <c r="F138" s="3" t="str">
        <f>"عدد"</f>
        <v>عدد</v>
      </c>
      <c r="G138" s="3">
        <v>20</v>
      </c>
      <c r="H138" s="5">
        <v>299700</v>
      </c>
    </row>
    <row r="139" spans="1:8" ht="18.75" x14ac:dyDescent="0.2">
      <c r="A139" s="3" t="str">
        <f t="shared" si="17"/>
        <v>98/11/26</v>
      </c>
      <c r="B139" s="3" t="str">
        <f t="shared" si="18"/>
        <v>كالاهاي مصرفي</v>
      </c>
      <c r="C139" s="3" t="str">
        <f t="shared" si="19"/>
        <v>انبار مصرفي ZU1</v>
      </c>
      <c r="D139" s="3" t="str">
        <f>"0204001237"</f>
        <v>0204001237</v>
      </c>
      <c r="E139" s="3" t="str">
        <f>"بيرينگ 30204 J2/Q"</f>
        <v>بيرينگ 30204 J2/Q</v>
      </c>
      <c r="F139" s="3" t="str">
        <f>"عدد"</f>
        <v>عدد</v>
      </c>
      <c r="G139" s="3">
        <v>1</v>
      </c>
      <c r="H139" s="5">
        <v>300000</v>
      </c>
    </row>
    <row r="140" spans="1:8" ht="18.75" x14ac:dyDescent="0.2">
      <c r="A140" s="3" t="str">
        <f t="shared" si="17"/>
        <v>98/11/26</v>
      </c>
      <c r="B140" s="3" t="str">
        <f t="shared" si="18"/>
        <v>كالاهاي مصرفي</v>
      </c>
      <c r="C140" s="3" t="str">
        <f t="shared" si="19"/>
        <v>انبار مصرفي ZU1</v>
      </c>
      <c r="D140" s="3" t="str">
        <f>"0204001434"</f>
        <v>0204001434</v>
      </c>
      <c r="E140" s="3" t="str">
        <f>"واشر پريشمان ضخامت 0/6  ميليمتر"</f>
        <v>واشر پريشمان ضخامت 0/6  ميليمتر</v>
      </c>
      <c r="F140" s="3" t="str">
        <f>"ورق"</f>
        <v>ورق</v>
      </c>
      <c r="G140" s="3">
        <v>3</v>
      </c>
      <c r="H140" s="5">
        <v>300000</v>
      </c>
    </row>
    <row r="141" spans="1:8" ht="18.75" x14ac:dyDescent="0.2">
      <c r="A141" s="3" t="str">
        <f t="shared" si="17"/>
        <v>98/11/26</v>
      </c>
      <c r="B141" s="3" t="str">
        <f t="shared" si="18"/>
        <v>كالاهاي مصرفي</v>
      </c>
      <c r="C141" s="3" t="str">
        <f t="shared" si="19"/>
        <v>انبار مصرفي ZU1</v>
      </c>
      <c r="D141" s="3" t="str">
        <f>"0204001873"</f>
        <v>0204001873</v>
      </c>
      <c r="E141" s="3" t="str">
        <f>"كاسه نمد12*65*45"</f>
        <v>كاسه نمد12*65*45</v>
      </c>
      <c r="F141" s="3" t="str">
        <f t="shared" ref="F141:F151" si="20">"عدد"</f>
        <v>عدد</v>
      </c>
      <c r="G141" s="3">
        <v>3</v>
      </c>
      <c r="H141" s="5">
        <v>300000</v>
      </c>
    </row>
    <row r="142" spans="1:8" ht="18.75" x14ac:dyDescent="0.2">
      <c r="A142" s="3" t="str">
        <f t="shared" si="17"/>
        <v>98/11/26</v>
      </c>
      <c r="B142" s="3" t="str">
        <f t="shared" si="18"/>
        <v>كالاهاي مصرفي</v>
      </c>
      <c r="C142" s="3" t="str">
        <f>"انبار مركزي ( عمومي )"</f>
        <v>انبار مركزي ( عمومي )</v>
      </c>
      <c r="D142" s="3" t="str">
        <f>"0206000271"</f>
        <v>0206000271</v>
      </c>
      <c r="E142" s="3" t="str">
        <f>"سه راهي برق (بدون سيم ) معمولي"</f>
        <v>سه راهي برق (بدون سيم ) معمولي</v>
      </c>
      <c r="F142" s="3" t="str">
        <f t="shared" si="20"/>
        <v>عدد</v>
      </c>
      <c r="G142" s="3">
        <v>15</v>
      </c>
      <c r="H142" s="5">
        <v>300000</v>
      </c>
    </row>
    <row r="143" spans="1:8" ht="18.75" x14ac:dyDescent="0.2">
      <c r="A143" s="3" t="str">
        <f t="shared" si="17"/>
        <v>98/11/26</v>
      </c>
      <c r="B143" s="3" t="str">
        <f t="shared" si="18"/>
        <v>كالاهاي مصرفي</v>
      </c>
      <c r="C143" s="3" t="str">
        <f>"انبار مركزي ( عمومي )"</f>
        <v>انبار مركزي ( عمومي )</v>
      </c>
      <c r="D143" s="3" t="str">
        <f>"0206000324"</f>
        <v>0206000324</v>
      </c>
      <c r="E143" s="3" t="str">
        <f>"بوشن ساده سبز 1 اينچ"</f>
        <v>بوشن ساده سبز 1 اينچ</v>
      </c>
      <c r="F143" s="3" t="str">
        <f t="shared" si="20"/>
        <v>عدد</v>
      </c>
      <c r="G143" s="3">
        <v>20</v>
      </c>
      <c r="H143" s="5">
        <v>300000</v>
      </c>
    </row>
    <row r="144" spans="1:8" ht="18.75" x14ac:dyDescent="0.2">
      <c r="A144" s="3" t="str">
        <f t="shared" si="17"/>
        <v>98/11/26</v>
      </c>
      <c r="B144" s="3" t="str">
        <f t="shared" si="18"/>
        <v>كالاهاي مصرفي</v>
      </c>
      <c r="C144" s="3" t="str">
        <f>"انبار مركزي ( عمومي )"</f>
        <v>انبار مركزي ( عمومي )</v>
      </c>
      <c r="D144" s="3" t="str">
        <f>"0206000613"</f>
        <v>0206000613</v>
      </c>
      <c r="E144" s="3" t="str">
        <f>"بوشن سبز 3/4 اينچ"</f>
        <v>بوشن سبز 3/4 اينچ</v>
      </c>
      <c r="F144" s="3" t="str">
        <f t="shared" si="20"/>
        <v>عدد</v>
      </c>
      <c r="G144" s="3">
        <v>30</v>
      </c>
      <c r="H144" s="5">
        <v>300000</v>
      </c>
    </row>
    <row r="145" spans="1:8" ht="18.75" x14ac:dyDescent="0.2">
      <c r="A145" s="3" t="str">
        <f t="shared" si="17"/>
        <v>98/11/26</v>
      </c>
      <c r="B145" s="3" t="str">
        <f t="shared" si="18"/>
        <v>كالاهاي مصرفي</v>
      </c>
      <c r="C145" s="3" t="str">
        <f>"انبار مركزي ( عمومي )"</f>
        <v>انبار مركزي ( عمومي )</v>
      </c>
      <c r="D145" s="3" t="str">
        <f>"0211000145"</f>
        <v>0211000145</v>
      </c>
      <c r="E145" s="3" t="str">
        <f>"فيوز سراميكي"</f>
        <v>فيوز سراميكي</v>
      </c>
      <c r="F145" s="3" t="str">
        <f t="shared" si="20"/>
        <v>عدد</v>
      </c>
      <c r="G145" s="3">
        <v>20</v>
      </c>
      <c r="H145" s="5">
        <v>300000</v>
      </c>
    </row>
    <row r="146" spans="1:8" ht="18.75" x14ac:dyDescent="0.2">
      <c r="A146" s="3" t="str">
        <f t="shared" si="17"/>
        <v>98/11/26</v>
      </c>
      <c r="B146" s="3" t="str">
        <f t="shared" si="18"/>
        <v>كالاهاي مصرفي</v>
      </c>
      <c r="C146" s="3" t="str">
        <f>"انبار مصرفي ZU1"</f>
        <v>انبار مصرفي ZU1</v>
      </c>
      <c r="D146" s="3" t="str">
        <f>"0213000192"</f>
        <v>0213000192</v>
      </c>
      <c r="E146" s="3" t="str">
        <f>"واشر مسي M16"</f>
        <v>واشر مسي M16</v>
      </c>
      <c r="F146" s="3" t="str">
        <f t="shared" si="20"/>
        <v>عدد</v>
      </c>
      <c r="G146" s="3">
        <v>80</v>
      </c>
      <c r="H146" s="5">
        <v>300000</v>
      </c>
    </row>
    <row r="147" spans="1:8" ht="18.75" x14ac:dyDescent="0.2">
      <c r="A147" s="3" t="str">
        <f t="shared" si="17"/>
        <v>98/11/26</v>
      </c>
      <c r="B147" s="3" t="str">
        <f t="shared" si="18"/>
        <v>كالاهاي مصرفي</v>
      </c>
      <c r="C147" s="3" t="str">
        <f>"انبار مركزي ( عمومي )"</f>
        <v>انبار مركزي ( عمومي )</v>
      </c>
      <c r="D147" s="3" t="str">
        <f>"0203000119"</f>
        <v>0203000119</v>
      </c>
      <c r="E147" s="3" t="str">
        <f>"چكش 1000 گرمي"</f>
        <v>چكش 1000 گرمي</v>
      </c>
      <c r="F147" s="3" t="str">
        <f t="shared" si="20"/>
        <v>عدد</v>
      </c>
      <c r="G147" s="3">
        <v>1</v>
      </c>
      <c r="H147" s="5">
        <v>302031</v>
      </c>
    </row>
    <row r="148" spans="1:8" ht="18.75" x14ac:dyDescent="0.2">
      <c r="A148" s="3" t="str">
        <f t="shared" si="17"/>
        <v>98/11/26</v>
      </c>
      <c r="B148" s="3" t="str">
        <f t="shared" si="18"/>
        <v>كالاهاي مصرفي</v>
      </c>
      <c r="C148" s="3" t="str">
        <f>"انبار مركزي ( عمومي )"</f>
        <v>انبار مركزي ( عمومي )</v>
      </c>
      <c r="D148" s="3" t="str">
        <f>"0213000948"</f>
        <v>0213000948</v>
      </c>
      <c r="E148" s="3" t="str">
        <f>"مته گردبر فلزي 30mm"</f>
        <v>مته گردبر فلزي 30mm</v>
      </c>
      <c r="F148" s="3" t="str">
        <f t="shared" si="20"/>
        <v>عدد</v>
      </c>
      <c r="G148" s="3">
        <v>1</v>
      </c>
      <c r="H148" s="5">
        <v>305000</v>
      </c>
    </row>
    <row r="149" spans="1:8" ht="18.75" x14ac:dyDescent="0.2">
      <c r="A149" s="3" t="str">
        <f t="shared" si="17"/>
        <v>98/11/26</v>
      </c>
      <c r="B149" s="3" t="str">
        <f t="shared" si="18"/>
        <v>كالاهاي مصرفي</v>
      </c>
      <c r="C149" s="3" t="str">
        <f>"انبار مركزي ( عمومي )"</f>
        <v>انبار مركزي ( عمومي )</v>
      </c>
      <c r="D149" s="3" t="str">
        <f>"0601000131"</f>
        <v>0601000131</v>
      </c>
      <c r="E149" s="3" t="str">
        <f>"پيش بند ضد آب"</f>
        <v>پيش بند ضد آب</v>
      </c>
      <c r="F149" s="3" t="str">
        <f t="shared" si="20"/>
        <v>عدد</v>
      </c>
      <c r="G149" s="3">
        <v>5</v>
      </c>
      <c r="H149" s="5">
        <v>307143</v>
      </c>
    </row>
    <row r="150" spans="1:8" ht="18.75" x14ac:dyDescent="0.2">
      <c r="A150" s="3" t="str">
        <f t="shared" si="17"/>
        <v>98/11/26</v>
      </c>
      <c r="B150" s="3" t="str">
        <f t="shared" si="18"/>
        <v>كالاهاي مصرفي</v>
      </c>
      <c r="C150" s="3" t="str">
        <f>"انبار مصرفي ZU1"</f>
        <v>انبار مصرفي ZU1</v>
      </c>
      <c r="D150" s="3" t="str">
        <f>"0213000567"</f>
        <v>0213000567</v>
      </c>
      <c r="E150" s="3" t="str">
        <f>"واشر استنلس استيل  12"</f>
        <v>واشر استنلس استيل  12</v>
      </c>
      <c r="F150" s="3" t="str">
        <f t="shared" si="20"/>
        <v>عدد</v>
      </c>
      <c r="G150" s="3">
        <v>245</v>
      </c>
      <c r="H150" s="5">
        <v>318500</v>
      </c>
    </row>
    <row r="151" spans="1:8" ht="18.75" x14ac:dyDescent="0.2">
      <c r="A151" s="3" t="str">
        <f t="shared" si="17"/>
        <v>98/11/26</v>
      </c>
      <c r="B151" s="3" t="str">
        <f t="shared" si="18"/>
        <v>كالاهاي مصرفي</v>
      </c>
      <c r="C151" s="3" t="str">
        <f>"انبار مصرفي ZU1"</f>
        <v>انبار مصرفي ZU1</v>
      </c>
      <c r="D151" s="3" t="str">
        <f>"0204000291"</f>
        <v>0204000291</v>
      </c>
      <c r="E151" s="3" t="str">
        <f>"كاسه نمد 10*48*65"</f>
        <v>كاسه نمد 10*48*65</v>
      </c>
      <c r="F151" s="3" t="str">
        <f t="shared" si="20"/>
        <v>عدد</v>
      </c>
      <c r="G151" s="3">
        <v>5</v>
      </c>
      <c r="H151" s="5">
        <v>323754</v>
      </c>
    </row>
    <row r="152" spans="1:8" ht="18.75" x14ac:dyDescent="0.2">
      <c r="A152" s="3" t="str">
        <f t="shared" si="17"/>
        <v>98/11/26</v>
      </c>
      <c r="B152" s="3" t="str">
        <f t="shared" si="18"/>
        <v>كالاهاي مصرفي</v>
      </c>
      <c r="C152" s="3" t="str">
        <f>"انبار مصرفي ZU1"</f>
        <v>انبار مصرفي ZU1</v>
      </c>
      <c r="D152" s="3" t="str">
        <f>"0213000651"</f>
        <v>0213000651</v>
      </c>
      <c r="E152" s="3" t="str">
        <f>"ميخ 7 سانتي"</f>
        <v>ميخ 7 سانتي</v>
      </c>
      <c r="F152" s="3" t="str">
        <f>"کيلوگرم"</f>
        <v>کيلوگرم</v>
      </c>
      <c r="G152" s="3">
        <v>5</v>
      </c>
      <c r="H152" s="5">
        <v>325000</v>
      </c>
    </row>
    <row r="153" spans="1:8" ht="18.75" x14ac:dyDescent="0.2">
      <c r="A153" s="3" t="str">
        <f t="shared" si="17"/>
        <v>98/11/26</v>
      </c>
      <c r="B153" s="3" t="str">
        <f t="shared" si="18"/>
        <v>كالاهاي مصرفي</v>
      </c>
      <c r="C153" s="3" t="str">
        <f>"انبار مركزي ( عمومي )"</f>
        <v>انبار مركزي ( عمومي )</v>
      </c>
      <c r="D153" s="3" t="str">
        <f>"0203000203"</f>
        <v>0203000203</v>
      </c>
      <c r="E153" s="3" t="str">
        <f>"رابط گردبر"</f>
        <v>رابط گردبر</v>
      </c>
      <c r="F153" s="3" t="str">
        <f t="shared" ref="F153:F158" si="21">"عدد"</f>
        <v>عدد</v>
      </c>
      <c r="G153" s="3">
        <v>1</v>
      </c>
      <c r="H153" s="5">
        <v>330000</v>
      </c>
    </row>
    <row r="154" spans="1:8" ht="18.75" x14ac:dyDescent="0.2">
      <c r="A154" s="3" t="str">
        <f t="shared" si="17"/>
        <v>98/11/26</v>
      </c>
      <c r="B154" s="3" t="str">
        <f t="shared" si="18"/>
        <v>كالاهاي مصرفي</v>
      </c>
      <c r="C154" s="3" t="str">
        <f>"انبار مصرفي ZU1"</f>
        <v>انبار مصرفي ZU1</v>
      </c>
      <c r="D154" s="3" t="str">
        <f>"0204000907"</f>
        <v>0204000907</v>
      </c>
      <c r="E154" s="3" t="str">
        <f>"خار چشمي DIN472 M42 داخلي"</f>
        <v>خار چشمي DIN472 M42 داخلي</v>
      </c>
      <c r="F154" s="3" t="str">
        <f t="shared" si="21"/>
        <v>عدد</v>
      </c>
      <c r="G154" s="3">
        <v>40</v>
      </c>
      <c r="H154" s="5">
        <v>335000</v>
      </c>
    </row>
    <row r="155" spans="1:8" ht="18.75" x14ac:dyDescent="0.2">
      <c r="A155" s="3" t="str">
        <f t="shared" si="17"/>
        <v>98/11/26</v>
      </c>
      <c r="B155" s="3" t="str">
        <f t="shared" si="18"/>
        <v>كالاهاي مصرفي</v>
      </c>
      <c r="C155" s="3" t="str">
        <f>"انبار مصرفي ZU1"</f>
        <v>انبار مصرفي ZU1</v>
      </c>
      <c r="D155" s="3" t="str">
        <f>"0204000318"</f>
        <v>0204000318</v>
      </c>
      <c r="E155" s="3" t="str">
        <f>"كاسه نمد 8*50*35"</f>
        <v>كاسه نمد 8*50*35</v>
      </c>
      <c r="F155" s="3" t="str">
        <f t="shared" si="21"/>
        <v>عدد</v>
      </c>
      <c r="G155" s="3">
        <v>2</v>
      </c>
      <c r="H155" s="5">
        <v>340000</v>
      </c>
    </row>
    <row r="156" spans="1:8" ht="18.75" x14ac:dyDescent="0.2">
      <c r="A156" s="3" t="str">
        <f t="shared" si="17"/>
        <v>98/11/26</v>
      </c>
      <c r="B156" s="3" t="str">
        <f t="shared" si="18"/>
        <v>كالاهاي مصرفي</v>
      </c>
      <c r="C156" s="3" t="str">
        <f>"انبار مركزي ( عمومي )"</f>
        <v>انبار مركزي ( عمومي )</v>
      </c>
      <c r="D156" s="3" t="str">
        <f>"0906000358"</f>
        <v>0906000358</v>
      </c>
      <c r="E156" s="3" t="str">
        <f>"تبديل HDMI to‎ DVI"</f>
        <v>تبديل HDMI to‎ DVI</v>
      </c>
      <c r="F156" s="3" t="str">
        <f t="shared" si="21"/>
        <v>عدد</v>
      </c>
      <c r="G156" s="3">
        <v>2</v>
      </c>
      <c r="H156" s="5">
        <v>345000</v>
      </c>
    </row>
    <row r="157" spans="1:8" ht="18.75" x14ac:dyDescent="0.2">
      <c r="A157" s="3" t="str">
        <f t="shared" si="17"/>
        <v>98/11/26</v>
      </c>
      <c r="B157" s="3" t="str">
        <f t="shared" si="18"/>
        <v>كالاهاي مصرفي</v>
      </c>
      <c r="C157" s="3" t="str">
        <f>"انبار مصرفي ZU1"</f>
        <v>انبار مصرفي ZU1</v>
      </c>
      <c r="D157" s="3" t="str">
        <f>"0213000246"</f>
        <v>0213000246</v>
      </c>
      <c r="E157" s="3" t="str">
        <f>"پيچ كربن استيل M6*60"</f>
        <v>پيچ كربن استيل M6*60</v>
      </c>
      <c r="F157" s="3" t="str">
        <f t="shared" si="21"/>
        <v>عدد</v>
      </c>
      <c r="G157" s="3">
        <v>90</v>
      </c>
      <c r="H157" s="5">
        <v>345600</v>
      </c>
    </row>
    <row r="158" spans="1:8" ht="18.75" x14ac:dyDescent="0.2">
      <c r="A158" s="3" t="str">
        <f t="shared" si="17"/>
        <v>98/11/26</v>
      </c>
      <c r="B158" s="3" t="str">
        <f t="shared" si="18"/>
        <v>كالاهاي مصرفي</v>
      </c>
      <c r="C158" s="3" t="str">
        <f>"انبار مصرفي ZU1"</f>
        <v>انبار مصرفي ZU1</v>
      </c>
      <c r="D158" s="3" t="str">
        <f>"0213000093"</f>
        <v>0213000093</v>
      </c>
      <c r="E158" s="3" t="str">
        <f>"پيچ استنلس استيل M12*30"</f>
        <v>پيچ استنلس استيل M12*30</v>
      </c>
      <c r="F158" s="3" t="str">
        <f t="shared" si="21"/>
        <v>عدد</v>
      </c>
      <c r="G158" s="3">
        <v>30</v>
      </c>
      <c r="H158" s="5">
        <v>347100</v>
      </c>
    </row>
    <row r="159" spans="1:8" ht="18.75" x14ac:dyDescent="0.2">
      <c r="A159" s="3" t="str">
        <f t="shared" si="17"/>
        <v>98/11/26</v>
      </c>
      <c r="B159" s="3" t="str">
        <f t="shared" si="18"/>
        <v>كالاهاي مصرفي</v>
      </c>
      <c r="C159" s="3" t="str">
        <f>"انبار مصرفي ZU1"</f>
        <v>انبار مصرفي ZU1</v>
      </c>
      <c r="D159" s="3" t="str">
        <f>"0106000162"</f>
        <v>0106000162</v>
      </c>
      <c r="E159" s="3" t="str">
        <f>"روغن بهران"</f>
        <v>روغن بهران</v>
      </c>
      <c r="F159" s="3" t="str">
        <f>"ليتر"</f>
        <v>ليتر</v>
      </c>
      <c r="G159" s="3">
        <v>4</v>
      </c>
      <c r="H159" s="5">
        <v>348419</v>
      </c>
    </row>
    <row r="160" spans="1:8" ht="18.75" x14ac:dyDescent="0.2">
      <c r="A160" s="3" t="str">
        <f t="shared" si="17"/>
        <v>98/11/26</v>
      </c>
      <c r="B160" s="3" t="str">
        <f t="shared" si="18"/>
        <v>كالاهاي مصرفي</v>
      </c>
      <c r="C160" s="3" t="str">
        <f>"انبار مصرفي ZU1"</f>
        <v>انبار مصرفي ZU1</v>
      </c>
      <c r="D160" s="3" t="str">
        <f>"0204001754"</f>
        <v>0204001754</v>
      </c>
      <c r="E160" s="3" t="str">
        <f>"بيرينگ 7204A"</f>
        <v>بيرينگ 7204A</v>
      </c>
      <c r="F160" s="3" t="str">
        <f t="shared" ref="F160:F166" si="22">"عدد"</f>
        <v>عدد</v>
      </c>
      <c r="G160" s="3">
        <v>1</v>
      </c>
      <c r="H160" s="5">
        <v>350000</v>
      </c>
    </row>
    <row r="161" spans="1:8" ht="18.75" x14ac:dyDescent="0.2">
      <c r="A161" s="3" t="str">
        <f t="shared" si="17"/>
        <v>98/11/26</v>
      </c>
      <c r="B161" s="3" t="str">
        <f t="shared" si="18"/>
        <v>كالاهاي مصرفي</v>
      </c>
      <c r="C161" s="3" t="str">
        <f>"انبار مصرفي ZU1"</f>
        <v>انبار مصرفي ZU1</v>
      </c>
      <c r="D161" s="3" t="str">
        <f>"0204001803"</f>
        <v>0204001803</v>
      </c>
      <c r="E161" s="3" t="str">
        <f>"بيرينگ NA 4913"</f>
        <v>بيرينگ NA 4913</v>
      </c>
      <c r="F161" s="3" t="str">
        <f t="shared" si="22"/>
        <v>عدد</v>
      </c>
      <c r="G161" s="3">
        <v>1</v>
      </c>
      <c r="H161" s="5">
        <v>350000</v>
      </c>
    </row>
    <row r="162" spans="1:8" ht="18.75" x14ac:dyDescent="0.2">
      <c r="A162" s="3" t="str">
        <f t="shared" si="17"/>
        <v>98/11/26</v>
      </c>
      <c r="B162" s="3" t="str">
        <f t="shared" si="18"/>
        <v>كالاهاي مصرفي</v>
      </c>
      <c r="C162" s="3" t="str">
        <f>"انبار مركزي ( عمومي )"</f>
        <v>انبار مركزي ( عمومي )</v>
      </c>
      <c r="D162" s="3" t="str">
        <f>"0206000130"</f>
        <v>0206000130</v>
      </c>
      <c r="E162" s="3" t="str">
        <f>"لوله خرطومي سيفون"</f>
        <v>لوله خرطومي سيفون</v>
      </c>
      <c r="F162" s="3" t="str">
        <f t="shared" si="22"/>
        <v>عدد</v>
      </c>
      <c r="G162" s="3">
        <v>10</v>
      </c>
      <c r="H162" s="5">
        <v>350000</v>
      </c>
    </row>
    <row r="163" spans="1:8" ht="18.75" x14ac:dyDescent="0.2">
      <c r="A163" s="3" t="str">
        <f t="shared" si="17"/>
        <v>98/11/26</v>
      </c>
      <c r="B163" s="3" t="str">
        <f t="shared" si="18"/>
        <v>كالاهاي مصرفي</v>
      </c>
      <c r="C163" s="3" t="str">
        <f>"انبار مصرفي ZU1"</f>
        <v>انبار مصرفي ZU1</v>
      </c>
      <c r="D163" s="3" t="str">
        <f>"0206000533"</f>
        <v>0206000533</v>
      </c>
      <c r="E163" s="3" t="str">
        <f>"سه راه پلي اتيلن 125 -16 اتمسفر - 90درجه پي 100"</f>
        <v>سه راه پلي اتيلن 125 -16 اتمسفر - 90درجه پي 100</v>
      </c>
      <c r="F163" s="3" t="str">
        <f t="shared" si="22"/>
        <v>عدد</v>
      </c>
      <c r="G163" s="3">
        <v>1</v>
      </c>
      <c r="H163" s="5">
        <v>350000</v>
      </c>
    </row>
    <row r="164" spans="1:8" ht="18.75" x14ac:dyDescent="0.2">
      <c r="A164" s="3" t="str">
        <f t="shared" si="17"/>
        <v>98/11/26</v>
      </c>
      <c r="B164" s="3" t="str">
        <f t="shared" si="18"/>
        <v>كالاهاي مصرفي</v>
      </c>
      <c r="C164" s="3" t="str">
        <f>"انبار مركزي ( عمومي )"</f>
        <v>انبار مركزي ( عمومي )</v>
      </c>
      <c r="D164" s="3" t="str">
        <f>"0213000736"</f>
        <v>0213000736</v>
      </c>
      <c r="E164" s="3" t="str">
        <f>"سوهان فلزي تخت"</f>
        <v>سوهان فلزي تخت</v>
      </c>
      <c r="F164" s="3" t="str">
        <f t="shared" si="22"/>
        <v>عدد</v>
      </c>
      <c r="G164" s="3">
        <v>1</v>
      </c>
      <c r="H164" s="5">
        <v>350000</v>
      </c>
    </row>
    <row r="165" spans="1:8" ht="18.75" x14ac:dyDescent="0.2">
      <c r="A165" s="3" t="str">
        <f t="shared" si="17"/>
        <v>98/11/26</v>
      </c>
      <c r="B165" s="3" t="str">
        <f t="shared" si="18"/>
        <v>كالاهاي مصرفي</v>
      </c>
      <c r="C165" s="3" t="str">
        <f>"انبار مركزي ( عمومي )"</f>
        <v>انبار مركزي ( عمومي )</v>
      </c>
      <c r="D165" s="3" t="str">
        <f>"0213001026"</f>
        <v>0213001026</v>
      </c>
      <c r="E165" s="3" t="str">
        <f>"مته گردبر فلزي 46mm"</f>
        <v>مته گردبر فلزي 46mm</v>
      </c>
      <c r="F165" s="3" t="str">
        <f t="shared" si="22"/>
        <v>عدد</v>
      </c>
      <c r="G165" s="3">
        <v>1</v>
      </c>
      <c r="H165" s="5">
        <v>350000</v>
      </c>
    </row>
    <row r="166" spans="1:8" ht="18.75" x14ac:dyDescent="0.2">
      <c r="A166" s="3" t="str">
        <f t="shared" si="17"/>
        <v>98/11/26</v>
      </c>
      <c r="B166" s="3" t="str">
        <f t="shared" si="18"/>
        <v>كالاهاي مصرفي</v>
      </c>
      <c r="C166" s="3" t="str">
        <f>"انبار مصرفي ZU1"</f>
        <v>انبار مصرفي ZU1</v>
      </c>
      <c r="D166" s="3" t="str">
        <f>"0213000368"</f>
        <v>0213000368</v>
      </c>
      <c r="E166" s="3" t="str">
        <f>"پيچ يك سر رزوه كربن استيل M6*20"</f>
        <v>پيچ يك سر رزوه كربن استيل M6*20</v>
      </c>
      <c r="F166" s="3" t="str">
        <f t="shared" si="22"/>
        <v>عدد</v>
      </c>
      <c r="G166" s="3">
        <v>188</v>
      </c>
      <c r="H166" s="5">
        <v>352500</v>
      </c>
    </row>
    <row r="167" spans="1:8" ht="18.75" x14ac:dyDescent="0.2">
      <c r="A167" s="3" t="str">
        <f t="shared" si="17"/>
        <v>98/11/26</v>
      </c>
      <c r="B167" s="3" t="str">
        <f t="shared" si="18"/>
        <v>كالاهاي مصرفي</v>
      </c>
      <c r="C167" s="3" t="str">
        <f>"انبار مصرفي ZU1"</f>
        <v>انبار مصرفي ZU1</v>
      </c>
      <c r="D167" s="3" t="str">
        <f>"0204001559"</f>
        <v>0204001559</v>
      </c>
      <c r="E167" s="3" t="str">
        <f>"اورينگ NBR ضخامت6"</f>
        <v>اورينگ NBR ضخامت6</v>
      </c>
      <c r="F167" s="3" t="str">
        <f>"متر"</f>
        <v>متر</v>
      </c>
      <c r="G167" s="3">
        <v>5</v>
      </c>
      <c r="H167" s="5">
        <v>354286</v>
      </c>
    </row>
    <row r="168" spans="1:8" ht="18.75" x14ac:dyDescent="0.2">
      <c r="A168" s="3" t="str">
        <f t="shared" si="17"/>
        <v>98/11/26</v>
      </c>
      <c r="B168" s="3" t="str">
        <f t="shared" si="18"/>
        <v>كالاهاي مصرفي</v>
      </c>
      <c r="C168" s="3" t="str">
        <f>"انبار مصرفي ZU1"</f>
        <v>انبار مصرفي ZU1</v>
      </c>
      <c r="D168" s="3" t="str">
        <f>"0213000245"</f>
        <v>0213000245</v>
      </c>
      <c r="E168" s="3" t="str">
        <f>"پيچ استنلس استيل M6*60"</f>
        <v>پيچ استنلس استيل M6*60</v>
      </c>
      <c r="F168" s="3" t="str">
        <f t="shared" ref="F168:F193" si="23">"عدد"</f>
        <v>عدد</v>
      </c>
      <c r="G168" s="3">
        <v>91</v>
      </c>
      <c r="H168" s="5">
        <v>354900</v>
      </c>
    </row>
    <row r="169" spans="1:8" ht="18.75" x14ac:dyDescent="0.2">
      <c r="A169" s="3" t="str">
        <f t="shared" si="17"/>
        <v>98/11/26</v>
      </c>
      <c r="B169" s="3" t="str">
        <f t="shared" si="18"/>
        <v>كالاهاي مصرفي</v>
      </c>
      <c r="C169" s="3" t="str">
        <f>"انبار مصرفي ZU1"</f>
        <v>انبار مصرفي ZU1</v>
      </c>
      <c r="D169" s="3" t="str">
        <f>"0204000169"</f>
        <v>0204000169</v>
      </c>
      <c r="E169" s="3" t="str">
        <f>"بيرينگ 2Z/C3-6003"</f>
        <v>بيرينگ 2Z/C3-6003</v>
      </c>
      <c r="F169" s="3" t="str">
        <f t="shared" si="23"/>
        <v>عدد</v>
      </c>
      <c r="G169" s="3">
        <v>6</v>
      </c>
      <c r="H169" s="5">
        <v>357000</v>
      </c>
    </row>
    <row r="170" spans="1:8" ht="18.75" x14ac:dyDescent="0.2">
      <c r="A170" s="3" t="str">
        <f t="shared" si="17"/>
        <v>98/11/26</v>
      </c>
      <c r="B170" s="3" t="str">
        <f t="shared" si="18"/>
        <v>كالاهاي مصرفي</v>
      </c>
      <c r="C170" s="3" t="str">
        <f>"انبار مصرفي ZU1"</f>
        <v>انبار مصرفي ZU1</v>
      </c>
      <c r="D170" s="3" t="str">
        <f>"0213000453"</f>
        <v>0213000453</v>
      </c>
      <c r="E170" s="3" t="str">
        <f>"واشر برنجي M30"</f>
        <v>واشر برنجي M30</v>
      </c>
      <c r="F170" s="3" t="str">
        <f t="shared" si="23"/>
        <v>عدد</v>
      </c>
      <c r="G170" s="3">
        <v>19</v>
      </c>
      <c r="H170" s="5">
        <v>359100</v>
      </c>
    </row>
    <row r="171" spans="1:8" ht="18.75" x14ac:dyDescent="0.2">
      <c r="A171" s="3" t="str">
        <f t="shared" si="17"/>
        <v>98/11/26</v>
      </c>
      <c r="B171" s="3" t="str">
        <f t="shared" si="18"/>
        <v>كالاهاي مصرفي</v>
      </c>
      <c r="C171" s="3" t="str">
        <f>"انبار مركزي ( عمومي )"</f>
        <v>انبار مركزي ( عمومي )</v>
      </c>
      <c r="D171" s="3" t="str">
        <f>"0203000049"</f>
        <v>0203000049</v>
      </c>
      <c r="E171" s="3" t="str">
        <f>"آچار فيلتر روغن"</f>
        <v>آچار فيلتر روغن</v>
      </c>
      <c r="F171" s="3" t="str">
        <f t="shared" si="23"/>
        <v>عدد</v>
      </c>
      <c r="G171" s="3">
        <v>3</v>
      </c>
      <c r="H171" s="5">
        <v>360000</v>
      </c>
    </row>
    <row r="172" spans="1:8" ht="18.75" x14ac:dyDescent="0.2">
      <c r="A172" s="3" t="str">
        <f t="shared" si="17"/>
        <v>98/11/26</v>
      </c>
      <c r="B172" s="3" t="str">
        <f t="shared" si="18"/>
        <v>كالاهاي مصرفي</v>
      </c>
      <c r="C172" s="3" t="str">
        <f>"انبار مصرفي ZU1"</f>
        <v>انبار مصرفي ZU1</v>
      </c>
      <c r="D172" s="3" t="str">
        <f>"0204000962"</f>
        <v>0204000962</v>
      </c>
      <c r="E172" s="3" t="str">
        <f>"بيرينگ 6201 2RS/C3"</f>
        <v>بيرينگ 6201 2RS/C3</v>
      </c>
      <c r="F172" s="3" t="str">
        <f t="shared" si="23"/>
        <v>عدد</v>
      </c>
      <c r="G172" s="3">
        <v>5</v>
      </c>
      <c r="H172" s="5">
        <v>360000</v>
      </c>
    </row>
    <row r="173" spans="1:8" ht="18.75" x14ac:dyDescent="0.2">
      <c r="A173" s="3" t="str">
        <f t="shared" si="17"/>
        <v>98/11/26</v>
      </c>
      <c r="B173" s="3" t="str">
        <f t="shared" si="18"/>
        <v>كالاهاي مصرفي</v>
      </c>
      <c r="C173" s="3" t="str">
        <f>"انبار مصرفي ZU1"</f>
        <v>انبار مصرفي ZU1</v>
      </c>
      <c r="D173" s="3" t="str">
        <f>"0213000194"</f>
        <v>0213000194</v>
      </c>
      <c r="E173" s="3" t="str">
        <f>"واشر مسي M20"</f>
        <v>واشر مسي M20</v>
      </c>
      <c r="F173" s="3" t="str">
        <f t="shared" si="23"/>
        <v>عدد</v>
      </c>
      <c r="G173" s="3">
        <v>80</v>
      </c>
      <c r="H173" s="5">
        <v>360000</v>
      </c>
    </row>
    <row r="174" spans="1:8" ht="18.75" x14ac:dyDescent="0.2">
      <c r="A174" s="3" t="str">
        <f t="shared" si="17"/>
        <v>98/11/26</v>
      </c>
      <c r="B174" s="3" t="str">
        <f t="shared" si="18"/>
        <v>كالاهاي مصرفي</v>
      </c>
      <c r="C174" s="3" t="str">
        <f>"انبار مصرفي ZU1"</f>
        <v>انبار مصرفي ZU1</v>
      </c>
      <c r="D174" s="3" t="str">
        <f>"0204000762"</f>
        <v>0204000762</v>
      </c>
      <c r="E174" s="3" t="str">
        <f>"كاسه نمد  10*35*58"</f>
        <v>كاسه نمد  10*35*58</v>
      </c>
      <c r="F174" s="3" t="str">
        <f t="shared" si="23"/>
        <v>عدد</v>
      </c>
      <c r="G174" s="3">
        <v>7</v>
      </c>
      <c r="H174" s="5">
        <v>364000</v>
      </c>
    </row>
    <row r="175" spans="1:8" ht="18.75" x14ac:dyDescent="0.2">
      <c r="A175" s="3" t="str">
        <f t="shared" si="17"/>
        <v>98/11/26</v>
      </c>
      <c r="B175" s="3" t="str">
        <f t="shared" si="18"/>
        <v>كالاهاي مصرفي</v>
      </c>
      <c r="C175" s="3" t="str">
        <f>"انبار مركزي ( عمومي )"</f>
        <v>انبار مركزي ( عمومي )</v>
      </c>
      <c r="D175" s="3" t="str">
        <f>"0906000272"</f>
        <v>0906000272</v>
      </c>
      <c r="E175" s="3" t="str">
        <f>"BNC  connector ( اتصالات )"</f>
        <v>BNC  connector ( اتصالات )</v>
      </c>
      <c r="F175" s="3" t="str">
        <f t="shared" si="23"/>
        <v>عدد</v>
      </c>
      <c r="G175" s="3">
        <v>9</v>
      </c>
      <c r="H175" s="5">
        <v>370880</v>
      </c>
    </row>
    <row r="176" spans="1:8" ht="18.75" x14ac:dyDescent="0.2">
      <c r="A176" s="3" t="str">
        <f t="shared" si="17"/>
        <v>98/11/26</v>
      </c>
      <c r="B176" s="3" t="str">
        <f t="shared" si="18"/>
        <v>كالاهاي مصرفي</v>
      </c>
      <c r="C176" s="3" t="str">
        <f>"انبار مركزي ( عمومي )"</f>
        <v>انبار مركزي ( عمومي )</v>
      </c>
      <c r="D176" s="3" t="str">
        <f>"0213000770"</f>
        <v>0213000770</v>
      </c>
      <c r="E176" s="3" t="str">
        <f>"مته الماسه معمولي  نمره 6"</f>
        <v>مته الماسه معمولي  نمره 6</v>
      </c>
      <c r="F176" s="3" t="str">
        <f t="shared" si="23"/>
        <v>عدد</v>
      </c>
      <c r="G176" s="3">
        <v>5</v>
      </c>
      <c r="H176" s="5">
        <v>377804</v>
      </c>
    </row>
    <row r="177" spans="1:8" ht="18.75" x14ac:dyDescent="0.2">
      <c r="A177" s="3" t="str">
        <f t="shared" si="17"/>
        <v>98/11/26</v>
      </c>
      <c r="B177" s="3" t="str">
        <f t="shared" si="18"/>
        <v>كالاهاي مصرفي</v>
      </c>
      <c r="C177" s="3" t="str">
        <f t="shared" ref="C177:C189" si="24">"انبار مصرفي ZU1"</f>
        <v>انبار مصرفي ZU1</v>
      </c>
      <c r="D177" s="3" t="str">
        <f>"0213000934"</f>
        <v>0213000934</v>
      </c>
      <c r="E177" s="3" t="str">
        <f>"پيچ M10* 30"</f>
        <v>پيچ M10* 30</v>
      </c>
      <c r="F177" s="3" t="str">
        <f t="shared" si="23"/>
        <v>عدد</v>
      </c>
      <c r="G177" s="3">
        <v>175</v>
      </c>
      <c r="H177" s="5">
        <v>378000</v>
      </c>
    </row>
    <row r="178" spans="1:8" ht="18.75" x14ac:dyDescent="0.2">
      <c r="A178" s="3" t="str">
        <f t="shared" si="17"/>
        <v>98/11/26</v>
      </c>
      <c r="B178" s="3" t="str">
        <f t="shared" si="18"/>
        <v>كالاهاي مصرفي</v>
      </c>
      <c r="C178" s="3" t="str">
        <f t="shared" si="24"/>
        <v>انبار مصرفي ZU1</v>
      </c>
      <c r="D178" s="3" t="str">
        <f>"0204001816"</f>
        <v>0204001816</v>
      </c>
      <c r="E178" s="3" t="str">
        <f>"كاسه نمد 55*35*10"</f>
        <v>كاسه نمد 55*35*10</v>
      </c>
      <c r="F178" s="3" t="str">
        <f t="shared" si="23"/>
        <v>عدد</v>
      </c>
      <c r="G178" s="3">
        <v>4</v>
      </c>
      <c r="H178" s="5">
        <v>380000</v>
      </c>
    </row>
    <row r="179" spans="1:8" ht="18.75" x14ac:dyDescent="0.2">
      <c r="A179" s="3" t="str">
        <f t="shared" si="17"/>
        <v>98/11/26</v>
      </c>
      <c r="B179" s="3" t="str">
        <f t="shared" si="18"/>
        <v>كالاهاي مصرفي</v>
      </c>
      <c r="C179" s="3" t="str">
        <f t="shared" si="24"/>
        <v>انبار مصرفي ZU1</v>
      </c>
      <c r="D179" s="3" t="str">
        <f>"0204000885"</f>
        <v>0204000885</v>
      </c>
      <c r="E179" s="3" t="str">
        <f>"خار چشمي DIN472 M24 داخلي"</f>
        <v>خار چشمي DIN472 M24 داخلي</v>
      </c>
      <c r="F179" s="3" t="str">
        <f t="shared" si="23"/>
        <v>عدد</v>
      </c>
      <c r="G179" s="3">
        <v>40</v>
      </c>
      <c r="H179" s="5">
        <v>381460</v>
      </c>
    </row>
    <row r="180" spans="1:8" ht="18.75" x14ac:dyDescent="0.2">
      <c r="A180" s="3" t="str">
        <f t="shared" si="17"/>
        <v>98/11/26</v>
      </c>
      <c r="B180" s="3" t="str">
        <f t="shared" si="18"/>
        <v>كالاهاي مصرفي</v>
      </c>
      <c r="C180" s="3" t="str">
        <f t="shared" si="24"/>
        <v>انبار مصرفي ZU1</v>
      </c>
      <c r="D180" s="3" t="str">
        <f>"0204001027"</f>
        <v>0204001027</v>
      </c>
      <c r="E180" s="3" t="str">
        <f>"واشر اورينگ رزينيNBR 25*3.6"</f>
        <v>واشر اورينگ رزينيNBR 25*3.6</v>
      </c>
      <c r="F180" s="3" t="str">
        <f t="shared" si="23"/>
        <v>عدد</v>
      </c>
      <c r="G180" s="3">
        <v>17</v>
      </c>
      <c r="H180" s="5">
        <v>382500</v>
      </c>
    </row>
    <row r="181" spans="1:8" ht="18.75" x14ac:dyDescent="0.2">
      <c r="A181" s="3" t="str">
        <f t="shared" si="17"/>
        <v>98/11/26</v>
      </c>
      <c r="B181" s="3" t="str">
        <f t="shared" si="18"/>
        <v>كالاهاي مصرفي</v>
      </c>
      <c r="C181" s="3" t="str">
        <f t="shared" si="24"/>
        <v>انبار مصرفي ZU1</v>
      </c>
      <c r="D181" s="3" t="str">
        <f>"0213000105"</f>
        <v>0213000105</v>
      </c>
      <c r="E181" s="3" t="str">
        <f>"پيچ استنلس استيل M24*150"</f>
        <v>پيچ استنلس استيل M24*150</v>
      </c>
      <c r="F181" s="3" t="str">
        <f t="shared" si="23"/>
        <v>عدد</v>
      </c>
      <c r="G181" s="3">
        <v>2</v>
      </c>
      <c r="H181" s="5">
        <v>392400</v>
      </c>
    </row>
    <row r="182" spans="1:8" ht="18.75" x14ac:dyDescent="0.2">
      <c r="A182" s="3" t="str">
        <f t="shared" si="17"/>
        <v>98/11/26</v>
      </c>
      <c r="B182" s="3" t="str">
        <f t="shared" si="18"/>
        <v>كالاهاي مصرفي</v>
      </c>
      <c r="C182" s="3" t="str">
        <f t="shared" si="24"/>
        <v>انبار مصرفي ZU1</v>
      </c>
      <c r="D182" s="3" t="str">
        <f>"0204000873"</f>
        <v>0204000873</v>
      </c>
      <c r="E182" s="3" t="str">
        <f>"خار چشمي DIN472 M12 داخلي"</f>
        <v>خار چشمي DIN472 M12 داخلي</v>
      </c>
      <c r="F182" s="3" t="str">
        <f t="shared" si="23"/>
        <v>عدد</v>
      </c>
      <c r="G182" s="3">
        <v>50</v>
      </c>
      <c r="H182" s="5">
        <v>393219</v>
      </c>
    </row>
    <row r="183" spans="1:8" ht="18.75" x14ac:dyDescent="0.2">
      <c r="A183" s="3" t="str">
        <f t="shared" si="17"/>
        <v>98/11/26</v>
      </c>
      <c r="B183" s="3" t="str">
        <f t="shared" si="18"/>
        <v>كالاهاي مصرفي</v>
      </c>
      <c r="C183" s="3" t="str">
        <f t="shared" si="24"/>
        <v>انبار مصرفي ZU1</v>
      </c>
      <c r="D183" s="3" t="str">
        <f>"0213000195"</f>
        <v>0213000195</v>
      </c>
      <c r="E183" s="3" t="str">
        <f>"واشر مسي M22"</f>
        <v>واشر مسي M22</v>
      </c>
      <c r="F183" s="3" t="str">
        <f t="shared" si="23"/>
        <v>عدد</v>
      </c>
      <c r="G183" s="3">
        <v>75</v>
      </c>
      <c r="H183" s="5">
        <v>393750</v>
      </c>
    </row>
    <row r="184" spans="1:8" ht="18.75" x14ac:dyDescent="0.2">
      <c r="A184" s="3" t="str">
        <f t="shared" si="17"/>
        <v>98/11/26</v>
      </c>
      <c r="B184" s="3" t="str">
        <f t="shared" si="18"/>
        <v>كالاهاي مصرفي</v>
      </c>
      <c r="C184" s="3" t="str">
        <f t="shared" si="24"/>
        <v>انبار مصرفي ZU1</v>
      </c>
      <c r="D184" s="3" t="str">
        <f>"0601000137"</f>
        <v>0601000137</v>
      </c>
      <c r="E184" s="3" t="str">
        <f>"شيشه سياه ماسك جوشكاري"</f>
        <v>شيشه سياه ماسك جوشكاري</v>
      </c>
      <c r="F184" s="3" t="str">
        <f t="shared" si="23"/>
        <v>عدد</v>
      </c>
      <c r="G184" s="3">
        <v>30</v>
      </c>
      <c r="H184" s="5">
        <v>395217</v>
      </c>
    </row>
    <row r="185" spans="1:8" ht="18.75" x14ac:dyDescent="0.2">
      <c r="A185" s="3" t="str">
        <f t="shared" si="17"/>
        <v>98/11/26</v>
      </c>
      <c r="B185" s="3" t="str">
        <f t="shared" si="18"/>
        <v>كالاهاي مصرفي</v>
      </c>
      <c r="C185" s="3" t="str">
        <f t="shared" si="24"/>
        <v>انبار مصرفي ZU1</v>
      </c>
      <c r="D185" s="3" t="str">
        <f>"0213000035"</f>
        <v>0213000035</v>
      </c>
      <c r="E185" s="3" t="str">
        <f>"پيچ M8*45"</f>
        <v>پيچ M8*45</v>
      </c>
      <c r="F185" s="3" t="str">
        <f t="shared" si="23"/>
        <v>عدد</v>
      </c>
      <c r="G185" s="3">
        <v>135</v>
      </c>
      <c r="H185" s="5">
        <v>396804</v>
      </c>
    </row>
    <row r="186" spans="1:8" ht="18.75" x14ac:dyDescent="0.2">
      <c r="A186" s="3" t="str">
        <f t="shared" si="17"/>
        <v>98/11/26</v>
      </c>
      <c r="B186" s="3" t="str">
        <f t="shared" si="18"/>
        <v>كالاهاي مصرفي</v>
      </c>
      <c r="C186" s="3" t="str">
        <f t="shared" si="24"/>
        <v>انبار مصرفي ZU1</v>
      </c>
      <c r="D186" s="3" t="str">
        <f>"0204000547"</f>
        <v>0204000547</v>
      </c>
      <c r="E186" s="3" t="str">
        <f>"بيرينگ  6203"</f>
        <v>بيرينگ  6203</v>
      </c>
      <c r="F186" s="3" t="str">
        <f t="shared" si="23"/>
        <v>عدد</v>
      </c>
      <c r="G186" s="3">
        <v>2</v>
      </c>
      <c r="H186" s="5">
        <v>400000</v>
      </c>
    </row>
    <row r="187" spans="1:8" ht="18.75" x14ac:dyDescent="0.2">
      <c r="A187" s="3" t="str">
        <f t="shared" si="17"/>
        <v>98/11/26</v>
      </c>
      <c r="B187" s="3" t="str">
        <f t="shared" si="18"/>
        <v>كالاهاي مصرفي</v>
      </c>
      <c r="C187" s="3" t="str">
        <f t="shared" si="24"/>
        <v>انبار مصرفي ZU1</v>
      </c>
      <c r="D187" s="3" t="str">
        <f>"0204001210"</f>
        <v>0204001210</v>
      </c>
      <c r="E187" s="3" t="str">
        <f>"بيرينگ 6006 2RS/C3"</f>
        <v>بيرينگ 6006 2RS/C3</v>
      </c>
      <c r="F187" s="3" t="str">
        <f t="shared" si="23"/>
        <v>عدد</v>
      </c>
      <c r="G187" s="3">
        <v>4</v>
      </c>
      <c r="H187" s="5">
        <v>400000</v>
      </c>
    </row>
    <row r="188" spans="1:8" ht="18.75" x14ac:dyDescent="0.2">
      <c r="A188" s="3" t="str">
        <f t="shared" si="17"/>
        <v>98/11/26</v>
      </c>
      <c r="B188" s="3" t="str">
        <f t="shared" si="18"/>
        <v>كالاهاي مصرفي</v>
      </c>
      <c r="C188" s="3" t="str">
        <f t="shared" si="24"/>
        <v>انبار مصرفي ZU1</v>
      </c>
      <c r="D188" s="3" t="str">
        <f>"0204001480"</f>
        <v>0204001480</v>
      </c>
      <c r="E188" s="3" t="str">
        <f>"كاسه نمد 10*48*60"</f>
        <v>كاسه نمد 10*48*60</v>
      </c>
      <c r="F188" s="3" t="str">
        <f t="shared" si="23"/>
        <v>عدد</v>
      </c>
      <c r="G188" s="3">
        <v>8</v>
      </c>
      <c r="H188" s="5">
        <v>400000</v>
      </c>
    </row>
    <row r="189" spans="1:8" ht="18.75" x14ac:dyDescent="0.2">
      <c r="A189" s="3" t="str">
        <f t="shared" si="17"/>
        <v>98/11/26</v>
      </c>
      <c r="B189" s="3" t="str">
        <f t="shared" si="18"/>
        <v>كالاهاي مصرفي</v>
      </c>
      <c r="C189" s="3" t="str">
        <f t="shared" si="24"/>
        <v>انبار مصرفي ZU1</v>
      </c>
      <c r="D189" s="3" t="str">
        <f>"0204001532"</f>
        <v>0204001532</v>
      </c>
      <c r="E189" s="3" t="str">
        <f>"کاسه نمد 7*55*40"</f>
        <v>کاسه نمد 7*55*40</v>
      </c>
      <c r="F189" s="3" t="str">
        <f t="shared" si="23"/>
        <v>عدد</v>
      </c>
      <c r="G189" s="3">
        <v>2</v>
      </c>
      <c r="H189" s="5">
        <v>400000</v>
      </c>
    </row>
    <row r="190" spans="1:8" ht="18.75" x14ac:dyDescent="0.2">
      <c r="A190" s="3" t="str">
        <f t="shared" si="17"/>
        <v>98/11/26</v>
      </c>
      <c r="B190" s="3" t="str">
        <f t="shared" si="18"/>
        <v>كالاهاي مصرفي</v>
      </c>
      <c r="C190" s="3" t="str">
        <f>"انبار مركزي ( عمومي )"</f>
        <v>انبار مركزي ( عمومي )</v>
      </c>
      <c r="D190" s="3" t="str">
        <f>"0206000334"</f>
        <v>0206000334</v>
      </c>
      <c r="E190" s="3" t="str">
        <f>"بوشن يكسر دنده سبز 1/2"</f>
        <v>بوشن يكسر دنده سبز 1/2</v>
      </c>
      <c r="F190" s="3" t="str">
        <f t="shared" si="23"/>
        <v>عدد</v>
      </c>
      <c r="G190" s="3">
        <v>10</v>
      </c>
      <c r="H190" s="5">
        <v>400000</v>
      </c>
    </row>
    <row r="191" spans="1:8" ht="18.75" x14ac:dyDescent="0.2">
      <c r="A191" s="3" t="str">
        <f t="shared" si="17"/>
        <v>98/11/26</v>
      </c>
      <c r="B191" s="3" t="str">
        <f t="shared" si="18"/>
        <v>كالاهاي مصرفي</v>
      </c>
      <c r="C191" s="3" t="str">
        <f>"انبار مركزي ( عمومي )"</f>
        <v>انبار مركزي ( عمومي )</v>
      </c>
      <c r="D191" s="3" t="str">
        <f>"0206000685"</f>
        <v>0206000685</v>
      </c>
      <c r="E191" s="3" t="str">
        <f>"زانو سبز 3/4 اينچ"</f>
        <v>زانو سبز 3/4 اينچ</v>
      </c>
      <c r="F191" s="3" t="str">
        <f t="shared" si="23"/>
        <v>عدد</v>
      </c>
      <c r="G191" s="3">
        <v>40</v>
      </c>
      <c r="H191" s="5">
        <v>400000</v>
      </c>
    </row>
    <row r="192" spans="1:8" ht="18.75" x14ac:dyDescent="0.2">
      <c r="A192" s="3" t="str">
        <f t="shared" si="17"/>
        <v>98/11/26</v>
      </c>
      <c r="B192" s="3" t="str">
        <f t="shared" si="18"/>
        <v>كالاهاي مصرفي</v>
      </c>
      <c r="C192" s="3" t="str">
        <f>"انبار مركزي ( عمومي )"</f>
        <v>انبار مركزي ( عمومي )</v>
      </c>
      <c r="D192" s="3" t="str">
        <f>"0206000698"</f>
        <v>0206000698</v>
      </c>
      <c r="E192" s="3" t="str">
        <f>"زانو 1/2 اينچ  90 درجه سبز"</f>
        <v>زانو 1/2 اينچ  90 درجه سبز</v>
      </c>
      <c r="F192" s="3" t="str">
        <f t="shared" si="23"/>
        <v>عدد</v>
      </c>
      <c r="G192" s="3">
        <v>40</v>
      </c>
      <c r="H192" s="5">
        <v>400000</v>
      </c>
    </row>
    <row r="193" spans="1:8" ht="18.75" x14ac:dyDescent="0.2">
      <c r="A193" s="3" t="str">
        <f t="shared" si="17"/>
        <v>98/11/26</v>
      </c>
      <c r="B193" s="3" t="str">
        <f t="shared" si="18"/>
        <v>كالاهاي مصرفي</v>
      </c>
      <c r="C193" s="3" t="str">
        <f>"انبار مركزي ( عمومي )"</f>
        <v>انبار مركزي ( عمومي )</v>
      </c>
      <c r="D193" s="3" t="str">
        <f>"0211000409"</f>
        <v>0211000409</v>
      </c>
      <c r="E193" s="3" t="str">
        <f>"لامپ رشته اي 60 وات"</f>
        <v>لامپ رشته اي 60 وات</v>
      </c>
      <c r="F193" s="3" t="str">
        <f t="shared" si="23"/>
        <v>عدد</v>
      </c>
      <c r="G193" s="3">
        <v>10</v>
      </c>
      <c r="H193" s="5">
        <v>400000</v>
      </c>
    </row>
    <row r="194" spans="1:8" ht="18.75" x14ac:dyDescent="0.2">
      <c r="A194" s="3" t="str">
        <f t="shared" ref="A194:A257" si="25">"98/11/26"</f>
        <v>98/11/26</v>
      </c>
      <c r="B194" s="3" t="str">
        <f t="shared" ref="B194:B257" si="26">"كالاهاي مصرفي"</f>
        <v>كالاهاي مصرفي</v>
      </c>
      <c r="C194" s="3" t="str">
        <f>"انبار مركزي ( عمومي )"</f>
        <v>انبار مركزي ( عمومي )</v>
      </c>
      <c r="D194" s="3" t="str">
        <f>"0213000712"</f>
        <v>0213000712</v>
      </c>
      <c r="E194" s="3" t="str">
        <f>"ميخ 10 سانتي"</f>
        <v>ميخ 10 سانتي</v>
      </c>
      <c r="F194" s="3" t="str">
        <f>"کيلوگرم"</f>
        <v>کيلوگرم</v>
      </c>
      <c r="G194" s="3">
        <v>5</v>
      </c>
      <c r="H194" s="5">
        <v>400000</v>
      </c>
    </row>
    <row r="195" spans="1:8" ht="18.75" x14ac:dyDescent="0.2">
      <c r="A195" s="3" t="str">
        <f t="shared" si="25"/>
        <v>98/11/26</v>
      </c>
      <c r="B195" s="3" t="str">
        <f t="shared" si="26"/>
        <v>كالاهاي مصرفي</v>
      </c>
      <c r="C195" s="3" t="str">
        <f>"انبار مصرفي ZU1"</f>
        <v>انبار مصرفي ZU1</v>
      </c>
      <c r="D195" s="3" t="str">
        <f>"0204000897"</f>
        <v>0204000897</v>
      </c>
      <c r="E195" s="3" t="str">
        <f>"خار چشمي DIN472 M36 داخلي"</f>
        <v>خار چشمي DIN472 M36 داخلي</v>
      </c>
      <c r="F195" s="3" t="str">
        <f t="shared" ref="F195:F209" si="27">"عدد"</f>
        <v>عدد</v>
      </c>
      <c r="G195" s="3">
        <v>60</v>
      </c>
      <c r="H195" s="5">
        <v>401000</v>
      </c>
    </row>
    <row r="196" spans="1:8" ht="18.75" x14ac:dyDescent="0.2">
      <c r="A196" s="3" t="str">
        <f t="shared" si="25"/>
        <v>98/11/26</v>
      </c>
      <c r="B196" s="3" t="str">
        <f t="shared" si="26"/>
        <v>كالاهاي مصرفي</v>
      </c>
      <c r="C196" s="3" t="str">
        <f>"انبار مصرفي ZU1"</f>
        <v>انبار مصرفي ZU1</v>
      </c>
      <c r="D196" s="3" t="str">
        <f>"0213000095"</f>
        <v>0213000095</v>
      </c>
      <c r="E196" s="3" t="str">
        <f>"پيچ استنلس استيل M12*35"</f>
        <v>پيچ استنلس استيل M12*35</v>
      </c>
      <c r="F196" s="3" t="str">
        <f t="shared" si="27"/>
        <v>عدد</v>
      </c>
      <c r="G196" s="3">
        <v>32</v>
      </c>
      <c r="H196" s="5">
        <v>401600</v>
      </c>
    </row>
    <row r="197" spans="1:8" ht="18.75" x14ac:dyDescent="0.2">
      <c r="A197" s="3" t="str">
        <f t="shared" si="25"/>
        <v>98/11/26</v>
      </c>
      <c r="B197" s="3" t="str">
        <f t="shared" si="26"/>
        <v>كالاهاي مصرفي</v>
      </c>
      <c r="C197" s="3" t="str">
        <f>"انبار مصرفي ZU1"</f>
        <v>انبار مصرفي ZU1</v>
      </c>
      <c r="D197" s="3" t="str">
        <f>"0213000010"</f>
        <v>0213000010</v>
      </c>
      <c r="E197" s="3" t="str">
        <f>"پيچ شش گوش M12*30"</f>
        <v>پيچ شش گوش M12*30</v>
      </c>
      <c r="F197" s="3" t="str">
        <f t="shared" si="27"/>
        <v>عدد</v>
      </c>
      <c r="G197" s="3">
        <v>60</v>
      </c>
      <c r="H197" s="5">
        <v>405000</v>
      </c>
    </row>
    <row r="198" spans="1:8" ht="18.75" x14ac:dyDescent="0.2">
      <c r="A198" s="3" t="str">
        <f t="shared" si="25"/>
        <v>98/11/26</v>
      </c>
      <c r="B198" s="3" t="str">
        <f t="shared" si="26"/>
        <v>كالاهاي مصرفي</v>
      </c>
      <c r="C198" s="3" t="str">
        <f>"انبار مركزي ( عمومي )"</f>
        <v>انبار مركزي ( عمومي )</v>
      </c>
      <c r="D198" s="3" t="str">
        <f>"0213001051"</f>
        <v>0213001051</v>
      </c>
      <c r="E198" s="3" t="str">
        <f>"پيچ  با واشر نمره 10"</f>
        <v>پيچ  با واشر نمره 10</v>
      </c>
      <c r="F198" s="3" t="str">
        <f t="shared" si="27"/>
        <v>عدد</v>
      </c>
      <c r="G198" s="3">
        <v>3</v>
      </c>
      <c r="H198" s="5">
        <v>405000</v>
      </c>
    </row>
    <row r="199" spans="1:8" ht="18.75" x14ac:dyDescent="0.2">
      <c r="A199" s="3" t="str">
        <f t="shared" si="25"/>
        <v>98/11/26</v>
      </c>
      <c r="B199" s="3" t="str">
        <f t="shared" si="26"/>
        <v>كالاهاي مصرفي</v>
      </c>
      <c r="C199" s="3" t="str">
        <f>"انبار مصرفي ZU1"</f>
        <v>انبار مصرفي ZU1</v>
      </c>
      <c r="D199" s="3" t="str">
        <f>"0213000165"</f>
        <v>0213000165</v>
      </c>
      <c r="E199" s="3" t="str">
        <f>"واشر تخت M14"</f>
        <v>واشر تخت M14</v>
      </c>
      <c r="F199" s="3" t="str">
        <f t="shared" si="27"/>
        <v>عدد</v>
      </c>
      <c r="G199" s="3">
        <v>483</v>
      </c>
      <c r="H199" s="5">
        <v>406181</v>
      </c>
    </row>
    <row r="200" spans="1:8" ht="18.75" x14ac:dyDescent="0.2">
      <c r="A200" s="3" t="str">
        <f t="shared" si="25"/>
        <v>98/11/26</v>
      </c>
      <c r="B200" s="3" t="str">
        <f t="shared" si="26"/>
        <v>كالاهاي مصرفي</v>
      </c>
      <c r="C200" s="3" t="str">
        <f>"انبار مركزي ( عمومي )"</f>
        <v>انبار مركزي ( عمومي )</v>
      </c>
      <c r="D200" s="3" t="str">
        <f>"0213000541"</f>
        <v>0213000541</v>
      </c>
      <c r="E200" s="3" t="str">
        <f>"رگولاتور كپسول گاز معمولي"</f>
        <v>رگولاتور كپسول گاز معمولي</v>
      </c>
      <c r="F200" s="3" t="str">
        <f t="shared" si="27"/>
        <v>عدد</v>
      </c>
      <c r="G200" s="3">
        <v>4</v>
      </c>
      <c r="H200" s="5">
        <v>407500</v>
      </c>
    </row>
    <row r="201" spans="1:8" ht="18.75" x14ac:dyDescent="0.2">
      <c r="A201" s="3" t="str">
        <f t="shared" si="25"/>
        <v>98/11/26</v>
      </c>
      <c r="B201" s="3" t="str">
        <f t="shared" si="26"/>
        <v>كالاهاي مصرفي</v>
      </c>
      <c r="C201" s="3" t="str">
        <f>"انبار مصرفي ZU1"</f>
        <v>انبار مصرفي ZU1</v>
      </c>
      <c r="D201" s="3" t="str">
        <f>"0204001648"</f>
        <v>0204001648</v>
      </c>
      <c r="E201" s="3" t="str">
        <f>"كاسه نمد 8*80*55"</f>
        <v>كاسه نمد 8*80*55</v>
      </c>
      <c r="F201" s="3" t="str">
        <f t="shared" si="27"/>
        <v>عدد</v>
      </c>
      <c r="G201" s="3">
        <v>9</v>
      </c>
      <c r="H201" s="5">
        <v>409500</v>
      </c>
    </row>
    <row r="202" spans="1:8" ht="18.75" x14ac:dyDescent="0.2">
      <c r="A202" s="3" t="str">
        <f t="shared" si="25"/>
        <v>98/11/26</v>
      </c>
      <c r="B202" s="3" t="str">
        <f t="shared" si="26"/>
        <v>كالاهاي مصرفي</v>
      </c>
      <c r="C202" s="3" t="str">
        <f>"انبار مصرفي ZU1"</f>
        <v>انبار مصرفي ZU1</v>
      </c>
      <c r="D202" s="3" t="str">
        <f>"0213000927"</f>
        <v>0213000927</v>
      </c>
      <c r="E202" s="3" t="str">
        <f>"پين 30 * 5"</f>
        <v>پين 30 * 5</v>
      </c>
      <c r="F202" s="3" t="str">
        <f t="shared" si="27"/>
        <v>عدد</v>
      </c>
      <c r="G202" s="3">
        <v>100</v>
      </c>
      <c r="H202" s="5">
        <v>410000</v>
      </c>
    </row>
    <row r="203" spans="1:8" ht="18.75" x14ac:dyDescent="0.2">
      <c r="A203" s="3" t="str">
        <f t="shared" si="25"/>
        <v>98/11/26</v>
      </c>
      <c r="B203" s="3" t="str">
        <f t="shared" si="26"/>
        <v>كالاهاي مصرفي</v>
      </c>
      <c r="C203" s="3" t="str">
        <f>"انبار مصرفي ZU1"</f>
        <v>انبار مصرفي ZU1</v>
      </c>
      <c r="D203" s="3" t="str">
        <f>"0213000199"</f>
        <v>0213000199</v>
      </c>
      <c r="E203" s="3" t="str">
        <f>"واشر مسي M30"</f>
        <v>واشر مسي M30</v>
      </c>
      <c r="F203" s="3" t="str">
        <f t="shared" si="27"/>
        <v>عدد</v>
      </c>
      <c r="G203" s="3">
        <v>47</v>
      </c>
      <c r="H203" s="5">
        <v>414540</v>
      </c>
    </row>
    <row r="204" spans="1:8" ht="18.75" x14ac:dyDescent="0.2">
      <c r="A204" s="3" t="str">
        <f t="shared" si="25"/>
        <v>98/11/26</v>
      </c>
      <c r="B204" s="3" t="str">
        <f t="shared" si="26"/>
        <v>كالاهاي مصرفي</v>
      </c>
      <c r="C204" s="3" t="str">
        <f>"انبار مركزي ( عمومي )"</f>
        <v>انبار مركزي ( عمومي )</v>
      </c>
      <c r="D204" s="3" t="str">
        <f>"0211001086"</f>
        <v>0211001086</v>
      </c>
      <c r="E204" s="3" t="str">
        <f>"فيوز فشنگي 16 آمپر"</f>
        <v>فيوز فشنگي 16 آمپر</v>
      </c>
      <c r="F204" s="3" t="str">
        <f t="shared" si="27"/>
        <v>عدد</v>
      </c>
      <c r="G204" s="3">
        <v>19</v>
      </c>
      <c r="H204" s="5">
        <v>418000</v>
      </c>
    </row>
    <row r="205" spans="1:8" ht="18.75" x14ac:dyDescent="0.2">
      <c r="A205" s="3" t="str">
        <f t="shared" si="25"/>
        <v>98/11/26</v>
      </c>
      <c r="B205" s="3" t="str">
        <f t="shared" si="26"/>
        <v>كالاهاي مصرفي</v>
      </c>
      <c r="C205" s="3" t="str">
        <f>"انبار مصرفي ZU1"</f>
        <v>انبار مصرفي ZU1</v>
      </c>
      <c r="D205" s="3" t="str">
        <f>"0213000138"</f>
        <v>0213000138</v>
      </c>
      <c r="E205" s="3" t="str">
        <f>"پيچ M10*30"</f>
        <v>پيچ M10*30</v>
      </c>
      <c r="F205" s="3" t="str">
        <f t="shared" si="27"/>
        <v>عدد</v>
      </c>
      <c r="G205" s="3">
        <v>92</v>
      </c>
      <c r="H205" s="5">
        <v>418836</v>
      </c>
    </row>
    <row r="206" spans="1:8" ht="18.75" x14ac:dyDescent="0.2">
      <c r="A206" s="3" t="str">
        <f t="shared" si="25"/>
        <v>98/11/26</v>
      </c>
      <c r="B206" s="3" t="str">
        <f t="shared" si="26"/>
        <v>كالاهاي مصرفي</v>
      </c>
      <c r="C206" s="3" t="str">
        <f>"انبار مصرفي ZU1"</f>
        <v>انبار مصرفي ZU1</v>
      </c>
      <c r="D206" s="3" t="str">
        <f>"0204001096"</f>
        <v>0204001096</v>
      </c>
      <c r="E206" s="3" t="str">
        <f>"کاسه نمد 10*80*40"</f>
        <v>کاسه نمد 10*80*40</v>
      </c>
      <c r="F206" s="3" t="str">
        <f t="shared" si="27"/>
        <v>عدد</v>
      </c>
      <c r="G206" s="3">
        <v>3</v>
      </c>
      <c r="H206" s="5">
        <v>420000</v>
      </c>
    </row>
    <row r="207" spans="1:8" ht="18.75" x14ac:dyDescent="0.2">
      <c r="A207" s="3" t="str">
        <f t="shared" si="25"/>
        <v>98/11/26</v>
      </c>
      <c r="B207" s="3" t="str">
        <f t="shared" si="26"/>
        <v>كالاهاي مصرفي</v>
      </c>
      <c r="C207" s="3" t="str">
        <f>"انبار مصرفي ZU1"</f>
        <v>انبار مصرفي ZU1</v>
      </c>
      <c r="D207" s="3" t="str">
        <f>"0204001251"</f>
        <v>0204001251</v>
      </c>
      <c r="E207" s="3" t="str">
        <f>"کاسه نمد 7*50*30"</f>
        <v>کاسه نمد 7*50*30</v>
      </c>
      <c r="F207" s="3" t="str">
        <f t="shared" si="27"/>
        <v>عدد</v>
      </c>
      <c r="G207" s="3">
        <v>3</v>
      </c>
      <c r="H207" s="5">
        <v>420000</v>
      </c>
    </row>
    <row r="208" spans="1:8" ht="18.75" x14ac:dyDescent="0.2">
      <c r="A208" s="3" t="str">
        <f t="shared" si="25"/>
        <v>98/11/26</v>
      </c>
      <c r="B208" s="3" t="str">
        <f t="shared" si="26"/>
        <v>كالاهاي مصرفي</v>
      </c>
      <c r="C208" s="3" t="str">
        <f>"انبار مصرفي ZU1"</f>
        <v>انبار مصرفي ZU1</v>
      </c>
      <c r="D208" s="3" t="str">
        <f>"0204000914"</f>
        <v>0204000914</v>
      </c>
      <c r="E208" s="3" t="str">
        <f>"خار چشمي DIN471 M48 خارجي"</f>
        <v>خار چشمي DIN471 M48 خارجي</v>
      </c>
      <c r="F208" s="3" t="str">
        <f t="shared" si="27"/>
        <v>عدد</v>
      </c>
      <c r="G208" s="3">
        <v>40</v>
      </c>
      <c r="H208" s="5">
        <v>422000</v>
      </c>
    </row>
    <row r="209" spans="1:8" ht="18.75" x14ac:dyDescent="0.2">
      <c r="A209" s="3" t="str">
        <f t="shared" si="25"/>
        <v>98/11/26</v>
      </c>
      <c r="B209" s="3" t="str">
        <f t="shared" si="26"/>
        <v>كالاهاي مصرفي</v>
      </c>
      <c r="C209" s="3" t="str">
        <f>"انبار مركزي ( عمومي )"</f>
        <v>انبار مركزي ( عمومي )</v>
      </c>
      <c r="D209" s="3" t="str">
        <f>"0202000102"</f>
        <v>0202000102</v>
      </c>
      <c r="E209" s="3" t="str">
        <f>"دو شاخ ارت دار ساختماني"</f>
        <v>دو شاخ ارت دار ساختماني</v>
      </c>
      <c r="F209" s="3" t="str">
        <f t="shared" si="27"/>
        <v>عدد</v>
      </c>
      <c r="G209" s="3">
        <v>8</v>
      </c>
      <c r="H209" s="5">
        <v>424000</v>
      </c>
    </row>
    <row r="210" spans="1:8" ht="18.75" x14ac:dyDescent="0.2">
      <c r="A210" s="3" t="str">
        <f t="shared" si="25"/>
        <v>98/11/26</v>
      </c>
      <c r="B210" s="3" t="str">
        <f t="shared" si="26"/>
        <v>كالاهاي مصرفي</v>
      </c>
      <c r="C210" s="3" t="str">
        <f>"انبار مصرفي ZU1"</f>
        <v>انبار مصرفي ZU1</v>
      </c>
      <c r="D210" s="3" t="str">
        <f>"0213001028"</f>
        <v>0213001028</v>
      </c>
      <c r="E210" s="3" t="str">
        <f>"پوساب برچسب دار P60"</f>
        <v>پوساب برچسب دار P60</v>
      </c>
      <c r="F210" s="3" t="str">
        <f>"برگ"</f>
        <v>برگ</v>
      </c>
      <c r="G210" s="3">
        <v>5</v>
      </c>
      <c r="H210" s="5">
        <v>425000</v>
      </c>
    </row>
    <row r="211" spans="1:8" ht="18.75" x14ac:dyDescent="0.2">
      <c r="A211" s="3" t="str">
        <f t="shared" si="25"/>
        <v>98/11/26</v>
      </c>
      <c r="B211" s="3" t="str">
        <f t="shared" si="26"/>
        <v>كالاهاي مصرفي</v>
      </c>
      <c r="C211" s="3" t="str">
        <f>"انبار مركزي ( عمومي )"</f>
        <v>انبار مركزي ( عمومي )</v>
      </c>
      <c r="D211" s="3" t="str">
        <f>"0101000039"</f>
        <v>0101000039</v>
      </c>
      <c r="E211" s="3" t="str">
        <f>"برس رنگ 1/2 .1  اينچ"</f>
        <v>برس رنگ 1/2 .1  اينچ</v>
      </c>
      <c r="F211" s="3" t="str">
        <f t="shared" ref="F211:F225" si="28">"عدد"</f>
        <v>عدد</v>
      </c>
      <c r="G211" s="3">
        <v>11</v>
      </c>
      <c r="H211" s="5">
        <v>427978</v>
      </c>
    </row>
    <row r="212" spans="1:8" ht="18.75" x14ac:dyDescent="0.2">
      <c r="A212" s="3" t="str">
        <f t="shared" si="25"/>
        <v>98/11/26</v>
      </c>
      <c r="B212" s="3" t="str">
        <f t="shared" si="26"/>
        <v>كالاهاي مصرفي</v>
      </c>
      <c r="C212" s="3" t="str">
        <f>"انبار مصرفي ZU1"</f>
        <v>انبار مصرفي ZU1</v>
      </c>
      <c r="D212" s="3" t="str">
        <f>"0204000915"</f>
        <v>0204000915</v>
      </c>
      <c r="E212" s="3" t="str">
        <f>"خار چشمي DIN472 M48 داخلي"</f>
        <v>خار چشمي DIN472 M48 داخلي</v>
      </c>
      <c r="F212" s="3" t="str">
        <f t="shared" si="28"/>
        <v>عدد</v>
      </c>
      <c r="G212" s="3">
        <v>40</v>
      </c>
      <c r="H212" s="5">
        <v>429000</v>
      </c>
    </row>
    <row r="213" spans="1:8" ht="18.75" x14ac:dyDescent="0.2">
      <c r="A213" s="3" t="str">
        <f t="shared" si="25"/>
        <v>98/11/26</v>
      </c>
      <c r="B213" s="3" t="str">
        <f t="shared" si="26"/>
        <v>كالاهاي مصرفي</v>
      </c>
      <c r="C213" s="3" t="str">
        <f>"انبار مصرفي ZU1"</f>
        <v>انبار مصرفي ZU1</v>
      </c>
      <c r="D213" s="3" t="str">
        <f>"0213001007"</f>
        <v>0213001007</v>
      </c>
      <c r="E213" s="3" t="str">
        <f>"پيچ  استنلس استيل  30* M5"</f>
        <v>پيچ  استنلس استيل  30* M5</v>
      </c>
      <c r="F213" s="3" t="str">
        <f t="shared" si="28"/>
        <v>عدد</v>
      </c>
      <c r="G213" s="3">
        <v>200</v>
      </c>
      <c r="H213" s="5">
        <v>429000</v>
      </c>
    </row>
    <row r="214" spans="1:8" ht="18.75" x14ac:dyDescent="0.2">
      <c r="A214" s="3" t="str">
        <f t="shared" si="25"/>
        <v>98/11/26</v>
      </c>
      <c r="B214" s="3" t="str">
        <f t="shared" si="26"/>
        <v>كالاهاي مصرفي</v>
      </c>
      <c r="C214" s="3" t="str">
        <f>"انبار مصرفي ZU1"</f>
        <v>انبار مصرفي ZU1</v>
      </c>
      <c r="D214" s="3" t="str">
        <f>"0204001502"</f>
        <v>0204001502</v>
      </c>
      <c r="E214" s="3" t="str">
        <f>"كاسه نمد  8*52*35"</f>
        <v>كاسه نمد  8*52*35</v>
      </c>
      <c r="F214" s="3" t="str">
        <f t="shared" si="28"/>
        <v>عدد</v>
      </c>
      <c r="G214" s="3">
        <v>11</v>
      </c>
      <c r="H214" s="5">
        <v>433889</v>
      </c>
    </row>
    <row r="215" spans="1:8" ht="18.75" x14ac:dyDescent="0.2">
      <c r="A215" s="3" t="str">
        <f t="shared" si="25"/>
        <v>98/11/26</v>
      </c>
      <c r="B215" s="3" t="str">
        <f t="shared" si="26"/>
        <v>كالاهاي مصرفي</v>
      </c>
      <c r="C215" s="3" t="str">
        <f>"انبار مركزي ( عمومي )"</f>
        <v>انبار مركزي ( عمومي )</v>
      </c>
      <c r="D215" s="3" t="str">
        <f>"0203000250"</f>
        <v>0203000250</v>
      </c>
      <c r="E215" s="3" t="str">
        <f>"سه نظام دريل"</f>
        <v>سه نظام دريل</v>
      </c>
      <c r="F215" s="3" t="str">
        <f t="shared" si="28"/>
        <v>عدد</v>
      </c>
      <c r="G215" s="3">
        <v>1</v>
      </c>
      <c r="H215" s="5">
        <v>440000</v>
      </c>
    </row>
    <row r="216" spans="1:8" ht="18.75" x14ac:dyDescent="0.2">
      <c r="A216" s="3" t="str">
        <f t="shared" si="25"/>
        <v>98/11/26</v>
      </c>
      <c r="B216" s="3" t="str">
        <f t="shared" si="26"/>
        <v>كالاهاي مصرفي</v>
      </c>
      <c r="C216" s="3" t="str">
        <f>"انبار مصرفي ZU1"</f>
        <v>انبار مصرفي ZU1</v>
      </c>
      <c r="D216" s="3" t="str">
        <f>"0204001109"</f>
        <v>0204001109</v>
      </c>
      <c r="E216" s="3" t="str">
        <f>"بيرينگ 32208 J2/Q"</f>
        <v>بيرينگ 32208 J2/Q</v>
      </c>
      <c r="F216" s="3" t="str">
        <f t="shared" si="28"/>
        <v>عدد</v>
      </c>
      <c r="G216" s="3">
        <v>1</v>
      </c>
      <c r="H216" s="5">
        <v>440000</v>
      </c>
    </row>
    <row r="217" spans="1:8" ht="18.75" x14ac:dyDescent="0.2">
      <c r="A217" s="3" t="str">
        <f t="shared" si="25"/>
        <v>98/11/26</v>
      </c>
      <c r="B217" s="3" t="str">
        <f t="shared" si="26"/>
        <v>كالاهاي مصرفي</v>
      </c>
      <c r="C217" s="3" t="str">
        <f>"انبار مصرفي ZU1"</f>
        <v>انبار مصرفي ZU1</v>
      </c>
      <c r="D217" s="3" t="str">
        <f>"0213001006"</f>
        <v>0213001006</v>
      </c>
      <c r="E217" s="3" t="str">
        <f>"پيچ كربن استيل  30* M5"</f>
        <v>پيچ كربن استيل  30* M5</v>
      </c>
      <c r="F217" s="3" t="str">
        <f t="shared" si="28"/>
        <v>عدد</v>
      </c>
      <c r="G217" s="3">
        <v>200</v>
      </c>
      <c r="H217" s="5">
        <v>440000</v>
      </c>
    </row>
    <row r="218" spans="1:8" ht="18.75" x14ac:dyDescent="0.2">
      <c r="A218" s="3" t="str">
        <f t="shared" si="25"/>
        <v>98/11/26</v>
      </c>
      <c r="B218" s="3" t="str">
        <f t="shared" si="26"/>
        <v>كالاهاي مصرفي</v>
      </c>
      <c r="C218" s="3" t="str">
        <f>"انبار مصرفي ZU1"</f>
        <v>انبار مصرفي ZU1</v>
      </c>
      <c r="D218" s="3" t="str">
        <f>"0213000455"</f>
        <v>0213000455</v>
      </c>
      <c r="E218" s="3" t="str">
        <f>"واشر برنجي M36"</f>
        <v>واشر برنجي M36</v>
      </c>
      <c r="F218" s="3" t="str">
        <f t="shared" si="28"/>
        <v>عدد</v>
      </c>
      <c r="G218" s="3">
        <v>13</v>
      </c>
      <c r="H218" s="5">
        <v>441090</v>
      </c>
    </row>
    <row r="219" spans="1:8" ht="18.75" x14ac:dyDescent="0.2">
      <c r="A219" s="3" t="str">
        <f t="shared" si="25"/>
        <v>98/11/26</v>
      </c>
      <c r="B219" s="3" t="str">
        <f t="shared" si="26"/>
        <v>كالاهاي مصرفي</v>
      </c>
      <c r="C219" s="3" t="str">
        <f>"انبار مركزي ( عمومي )"</f>
        <v>انبار مركزي ( عمومي )</v>
      </c>
      <c r="D219" s="3" t="str">
        <f>"0106000174"</f>
        <v>0106000174</v>
      </c>
      <c r="E219" s="3" t="str">
        <f>"گريس پمپ دستي"</f>
        <v>گريس پمپ دستي</v>
      </c>
      <c r="F219" s="3" t="str">
        <f t="shared" si="28"/>
        <v>عدد</v>
      </c>
      <c r="G219" s="3">
        <v>1</v>
      </c>
      <c r="H219" s="5">
        <v>450000</v>
      </c>
    </row>
    <row r="220" spans="1:8" ht="18.75" x14ac:dyDescent="0.2">
      <c r="A220" s="3" t="str">
        <f t="shared" si="25"/>
        <v>98/11/26</v>
      </c>
      <c r="B220" s="3" t="str">
        <f t="shared" si="26"/>
        <v>كالاهاي مصرفي</v>
      </c>
      <c r="C220" s="3" t="str">
        <f>"انبار مصرفي ZU1"</f>
        <v>انبار مصرفي ZU1</v>
      </c>
      <c r="D220" s="3" t="str">
        <f>"0203000093"</f>
        <v>0203000093</v>
      </c>
      <c r="E220" s="3" t="str">
        <f>"انبر سيم لخت كن"</f>
        <v>انبر سيم لخت كن</v>
      </c>
      <c r="F220" s="3" t="str">
        <f t="shared" si="28"/>
        <v>عدد</v>
      </c>
      <c r="G220" s="3">
        <v>1</v>
      </c>
      <c r="H220" s="5">
        <v>450000</v>
      </c>
    </row>
    <row r="221" spans="1:8" ht="18.75" x14ac:dyDescent="0.2">
      <c r="A221" s="3" t="str">
        <f t="shared" si="25"/>
        <v>98/11/26</v>
      </c>
      <c r="B221" s="3" t="str">
        <f t="shared" si="26"/>
        <v>كالاهاي مصرفي</v>
      </c>
      <c r="C221" s="3" t="str">
        <f>"انبار مصرفي ZU1"</f>
        <v>انبار مصرفي ZU1</v>
      </c>
      <c r="D221" s="3" t="str">
        <f>"0204000353"</f>
        <v>0204000353</v>
      </c>
      <c r="E221" s="3" t="str">
        <f>"واشر اورينگ رزيني4.5*(2-)75"</f>
        <v>واشر اورينگ رزيني4.5*(2-)75</v>
      </c>
      <c r="F221" s="3" t="str">
        <f t="shared" si="28"/>
        <v>عدد</v>
      </c>
      <c r="G221" s="3">
        <v>18</v>
      </c>
      <c r="H221" s="5">
        <v>450000</v>
      </c>
    </row>
    <row r="222" spans="1:8" ht="18.75" x14ac:dyDescent="0.2">
      <c r="A222" s="3" t="str">
        <f t="shared" si="25"/>
        <v>98/11/26</v>
      </c>
      <c r="B222" s="3" t="str">
        <f t="shared" si="26"/>
        <v>كالاهاي مصرفي</v>
      </c>
      <c r="C222" s="3" t="str">
        <f>"انبار مركزي ( عمومي )"</f>
        <v>انبار مركزي ( عمومي )</v>
      </c>
      <c r="D222" s="3" t="str">
        <f>"0206000087"</f>
        <v>0206000087</v>
      </c>
      <c r="E222" s="3" t="str">
        <f>"بوشن يكسردنده 3/4 اينچ"</f>
        <v>بوشن يكسردنده 3/4 اينچ</v>
      </c>
      <c r="F222" s="3" t="str">
        <f t="shared" si="28"/>
        <v>عدد</v>
      </c>
      <c r="G222" s="3">
        <v>10</v>
      </c>
      <c r="H222" s="5">
        <v>450000</v>
      </c>
    </row>
    <row r="223" spans="1:8" ht="18.75" x14ac:dyDescent="0.2">
      <c r="A223" s="3" t="str">
        <f t="shared" si="25"/>
        <v>98/11/26</v>
      </c>
      <c r="B223" s="3" t="str">
        <f t="shared" si="26"/>
        <v>كالاهاي مصرفي</v>
      </c>
      <c r="C223" s="3" t="str">
        <f>"انبار مركزي ( عمومي )"</f>
        <v>انبار مركزي ( عمومي )</v>
      </c>
      <c r="D223" s="3" t="str">
        <f>"0206000453"</f>
        <v>0206000453</v>
      </c>
      <c r="E223" s="3" t="str">
        <f>"درپوش گالوانيزه 1 اينچ"</f>
        <v>درپوش گالوانيزه 1 اينچ</v>
      </c>
      <c r="F223" s="3" t="str">
        <f t="shared" si="28"/>
        <v>عدد</v>
      </c>
      <c r="G223" s="3">
        <v>15</v>
      </c>
      <c r="H223" s="5">
        <v>450000</v>
      </c>
    </row>
    <row r="224" spans="1:8" ht="18.75" x14ac:dyDescent="0.2">
      <c r="A224" s="3" t="str">
        <f t="shared" si="25"/>
        <v>98/11/26</v>
      </c>
      <c r="B224" s="3" t="str">
        <f t="shared" si="26"/>
        <v>كالاهاي مصرفي</v>
      </c>
      <c r="C224" s="3" t="str">
        <f>"انبار مصرفي ZU1"</f>
        <v>انبار مصرفي ZU1</v>
      </c>
      <c r="D224" s="3" t="str">
        <f>"0206000910"</f>
        <v>0206000910</v>
      </c>
      <c r="E224" s="3" t="str">
        <f>"شير سوزني 1/8 اينچ"</f>
        <v>شير سوزني 1/8 اينچ</v>
      </c>
      <c r="F224" s="3" t="str">
        <f t="shared" si="28"/>
        <v>عدد</v>
      </c>
      <c r="G224" s="3">
        <v>3</v>
      </c>
      <c r="H224" s="5">
        <v>450000</v>
      </c>
    </row>
    <row r="225" spans="1:8" ht="18.75" x14ac:dyDescent="0.2">
      <c r="A225" s="3" t="str">
        <f t="shared" si="25"/>
        <v>98/11/26</v>
      </c>
      <c r="B225" s="3" t="str">
        <f t="shared" si="26"/>
        <v>كالاهاي مصرفي</v>
      </c>
      <c r="C225" s="3" t="str">
        <f>"انبار مصرفي ZU1"</f>
        <v>انبار مصرفي ZU1</v>
      </c>
      <c r="D225" s="3" t="str">
        <f>"0206000911"</f>
        <v>0206000911</v>
      </c>
      <c r="E225" s="3" t="str">
        <f>"رسيور  ولو 3/8 اينچ"</f>
        <v>رسيور  ولو 3/8 اينچ</v>
      </c>
      <c r="F225" s="3" t="str">
        <f t="shared" si="28"/>
        <v>عدد</v>
      </c>
      <c r="G225" s="3">
        <v>1</v>
      </c>
      <c r="H225" s="5">
        <v>450000</v>
      </c>
    </row>
    <row r="226" spans="1:8" ht="18.75" x14ac:dyDescent="0.2">
      <c r="A226" s="3" t="str">
        <f t="shared" si="25"/>
        <v>98/11/26</v>
      </c>
      <c r="B226" s="3" t="str">
        <f t="shared" si="26"/>
        <v>كالاهاي مصرفي</v>
      </c>
      <c r="C226" s="3" t="str">
        <f>"انبار مصرفي ZU1"</f>
        <v>انبار مصرفي ZU1</v>
      </c>
      <c r="D226" s="3" t="str">
        <f>"0215000134"</f>
        <v>0215000134</v>
      </c>
      <c r="E226" s="3" t="str">
        <f>"فيلر ميليمتري بلند"</f>
        <v>فيلر ميليمتري بلند</v>
      </c>
      <c r="F226" s="3" t="str">
        <f>"بسته"</f>
        <v>بسته</v>
      </c>
      <c r="G226" s="3">
        <v>1</v>
      </c>
      <c r="H226" s="5">
        <v>450000</v>
      </c>
    </row>
    <row r="227" spans="1:8" ht="18.75" x14ac:dyDescent="0.2">
      <c r="A227" s="3" t="str">
        <f t="shared" si="25"/>
        <v>98/11/26</v>
      </c>
      <c r="B227" s="3" t="str">
        <f t="shared" si="26"/>
        <v>كالاهاي مصرفي</v>
      </c>
      <c r="C227" s="3" t="str">
        <f>"انبار مركزي ( عمومي )"</f>
        <v>انبار مركزي ( عمومي )</v>
      </c>
      <c r="D227" s="3" t="str">
        <f>"0206000349"</f>
        <v>0206000349</v>
      </c>
      <c r="E227" s="3" t="str">
        <f>"سه راهي پوليكا 5 اينچ 90 درجه"</f>
        <v>سه راهي پوليكا 5 اينچ 90 درجه</v>
      </c>
      <c r="F227" s="3" t="str">
        <f t="shared" ref="F227:F240" si="29">"عدد"</f>
        <v>عدد</v>
      </c>
      <c r="G227" s="3">
        <v>7</v>
      </c>
      <c r="H227" s="5">
        <v>455000</v>
      </c>
    </row>
    <row r="228" spans="1:8" ht="18.75" x14ac:dyDescent="0.2">
      <c r="A228" s="3" t="str">
        <f t="shared" si="25"/>
        <v>98/11/26</v>
      </c>
      <c r="B228" s="3" t="str">
        <f t="shared" si="26"/>
        <v>كالاهاي مصرفي</v>
      </c>
      <c r="C228" s="3" t="str">
        <f>"انبار مصرفي ZU1"</f>
        <v>انبار مصرفي ZU1</v>
      </c>
      <c r="D228" s="3" t="str">
        <f>"0204001477"</f>
        <v>0204001477</v>
      </c>
      <c r="E228" s="3" t="str">
        <f>"کاسه نمد 12*140*110"</f>
        <v>کاسه نمد 12*140*110</v>
      </c>
      <c r="F228" s="3" t="str">
        <f t="shared" si="29"/>
        <v>عدد</v>
      </c>
      <c r="G228" s="3">
        <v>4</v>
      </c>
      <c r="H228" s="5">
        <v>460000</v>
      </c>
    </row>
    <row r="229" spans="1:8" ht="18.75" x14ac:dyDescent="0.2">
      <c r="A229" s="3" t="str">
        <f t="shared" si="25"/>
        <v>98/11/26</v>
      </c>
      <c r="B229" s="3" t="str">
        <f t="shared" si="26"/>
        <v>كالاهاي مصرفي</v>
      </c>
      <c r="C229" s="3" t="str">
        <f>"انبار مصرفي ZU1"</f>
        <v>انبار مصرفي ZU1</v>
      </c>
      <c r="D229" s="3" t="str">
        <f>"0204001203"</f>
        <v>0204001203</v>
      </c>
      <c r="E229" s="3" t="str">
        <f>"كاسه نمد 13*180*150"</f>
        <v>كاسه نمد 13*180*150</v>
      </c>
      <c r="F229" s="3" t="str">
        <f t="shared" si="29"/>
        <v>عدد</v>
      </c>
      <c r="G229" s="3">
        <v>1</v>
      </c>
      <c r="H229" s="5">
        <v>461000</v>
      </c>
    </row>
    <row r="230" spans="1:8" ht="18.75" x14ac:dyDescent="0.2">
      <c r="A230" s="3" t="str">
        <f t="shared" si="25"/>
        <v>98/11/26</v>
      </c>
      <c r="B230" s="3" t="str">
        <f t="shared" si="26"/>
        <v>كالاهاي مصرفي</v>
      </c>
      <c r="C230" s="3" t="str">
        <f>"انبار مركزي ( عمومي )"</f>
        <v>انبار مركزي ( عمومي )</v>
      </c>
      <c r="D230" s="3" t="str">
        <f>"0206000350"</f>
        <v>0206000350</v>
      </c>
      <c r="E230" s="3" t="str">
        <f>"زانو پوليكا 5 اينچ 90 درجه"</f>
        <v>زانو پوليكا 5 اينچ 90 درجه</v>
      </c>
      <c r="F230" s="3" t="str">
        <f t="shared" si="29"/>
        <v>عدد</v>
      </c>
      <c r="G230" s="3">
        <v>6</v>
      </c>
      <c r="H230" s="5">
        <v>462353</v>
      </c>
    </row>
    <row r="231" spans="1:8" ht="18.75" x14ac:dyDescent="0.2">
      <c r="A231" s="3" t="str">
        <f t="shared" si="25"/>
        <v>98/11/26</v>
      </c>
      <c r="B231" s="3" t="str">
        <f t="shared" si="26"/>
        <v>كالاهاي مصرفي</v>
      </c>
      <c r="C231" s="3" t="str">
        <f>"انبار مصرفي ZU1"</f>
        <v>انبار مصرفي ZU1</v>
      </c>
      <c r="D231" s="3" t="str">
        <f>"0211000356"</f>
        <v>0211000356</v>
      </c>
      <c r="E231" s="3" t="str">
        <f>"فرز انگشتي سنگي استوانه اي"</f>
        <v>فرز انگشتي سنگي استوانه اي</v>
      </c>
      <c r="F231" s="3" t="str">
        <f t="shared" si="29"/>
        <v>عدد</v>
      </c>
      <c r="G231" s="3">
        <v>234</v>
      </c>
      <c r="H231" s="5">
        <v>468000</v>
      </c>
    </row>
    <row r="232" spans="1:8" ht="18.75" x14ac:dyDescent="0.2">
      <c r="A232" s="3" t="str">
        <f t="shared" si="25"/>
        <v>98/11/26</v>
      </c>
      <c r="B232" s="3" t="str">
        <f t="shared" si="26"/>
        <v>كالاهاي مصرفي</v>
      </c>
      <c r="C232" s="3" t="str">
        <f>"انبار مصرفي ZU1"</f>
        <v>انبار مصرفي ZU1</v>
      </c>
      <c r="D232" s="3" t="str">
        <f>"0204000911"</f>
        <v>0204000911</v>
      </c>
      <c r="E232" s="3" t="str">
        <f>"خار چشمي DIN472 M46 داخلي"</f>
        <v>خار چشمي DIN472 M46 داخلي</v>
      </c>
      <c r="F232" s="3" t="str">
        <f t="shared" si="29"/>
        <v>عدد</v>
      </c>
      <c r="G232" s="3">
        <v>50</v>
      </c>
      <c r="H232" s="5">
        <v>475800</v>
      </c>
    </row>
    <row r="233" spans="1:8" ht="18.75" x14ac:dyDescent="0.2">
      <c r="A233" s="3" t="str">
        <f t="shared" si="25"/>
        <v>98/11/26</v>
      </c>
      <c r="B233" s="3" t="str">
        <f t="shared" si="26"/>
        <v>كالاهاي مصرفي</v>
      </c>
      <c r="C233" s="3" t="str">
        <f>"انبار مصرفي ZU1"</f>
        <v>انبار مصرفي ZU1</v>
      </c>
      <c r="D233" s="3" t="str">
        <f>"0101000084"</f>
        <v>0101000084</v>
      </c>
      <c r="E233" s="3" t="str">
        <f>"قلم مو 3  *  12cm (مغلاويز )"</f>
        <v>قلم مو 3  *  12cm (مغلاويز )</v>
      </c>
      <c r="F233" s="3" t="str">
        <f t="shared" si="29"/>
        <v>عدد</v>
      </c>
      <c r="G233" s="3">
        <v>7</v>
      </c>
      <c r="H233" s="5">
        <v>479500</v>
      </c>
    </row>
    <row r="234" spans="1:8" ht="18.75" x14ac:dyDescent="0.2">
      <c r="A234" s="3" t="str">
        <f t="shared" si="25"/>
        <v>98/11/26</v>
      </c>
      <c r="B234" s="3" t="str">
        <f t="shared" si="26"/>
        <v>كالاهاي مصرفي</v>
      </c>
      <c r="C234" s="3" t="str">
        <f>"انبار مركزي ( عمومي )"</f>
        <v>انبار مركزي ( عمومي )</v>
      </c>
      <c r="D234" s="3" t="str">
        <f>"0203000038"</f>
        <v>0203000038</v>
      </c>
      <c r="E234" s="3" t="str">
        <f>"متر 7/5 متري فلزي"</f>
        <v>متر 7/5 متري فلزي</v>
      </c>
      <c r="F234" s="3" t="str">
        <f t="shared" si="29"/>
        <v>عدد</v>
      </c>
      <c r="G234" s="3">
        <v>4</v>
      </c>
      <c r="H234" s="5">
        <v>480000</v>
      </c>
    </row>
    <row r="235" spans="1:8" ht="18.75" x14ac:dyDescent="0.2">
      <c r="A235" s="3" t="str">
        <f t="shared" si="25"/>
        <v>98/11/26</v>
      </c>
      <c r="B235" s="3" t="str">
        <f t="shared" si="26"/>
        <v>كالاهاي مصرفي</v>
      </c>
      <c r="C235" s="3" t="str">
        <f>"انبار مصرفي ZU1"</f>
        <v>انبار مصرفي ZU1</v>
      </c>
      <c r="D235" s="3" t="str">
        <f>"0203000120"</f>
        <v>0203000120</v>
      </c>
      <c r="E235" s="3" t="str">
        <f>"چكش 2000 گرمي"</f>
        <v>چكش 2000 گرمي</v>
      </c>
      <c r="F235" s="3" t="str">
        <f t="shared" si="29"/>
        <v>عدد</v>
      </c>
      <c r="G235" s="3">
        <v>1</v>
      </c>
      <c r="H235" s="5">
        <v>480000</v>
      </c>
    </row>
    <row r="236" spans="1:8" ht="18.75" x14ac:dyDescent="0.2">
      <c r="A236" s="3" t="str">
        <f t="shared" si="25"/>
        <v>98/11/26</v>
      </c>
      <c r="B236" s="3" t="str">
        <f t="shared" si="26"/>
        <v>كالاهاي مصرفي</v>
      </c>
      <c r="C236" s="3" t="str">
        <f>"انبار مصرفي ZU1"</f>
        <v>انبار مصرفي ZU1</v>
      </c>
      <c r="D236" s="3" t="str">
        <f>"0206000515"</f>
        <v>0206000515</v>
      </c>
      <c r="E236" s="3" t="str">
        <f>"زانو پلي اتيلن 90*125 - 16 بار - پي 100"</f>
        <v>زانو پلي اتيلن 90*125 - 16 بار - پي 100</v>
      </c>
      <c r="F236" s="3" t="str">
        <f t="shared" si="29"/>
        <v>عدد</v>
      </c>
      <c r="G236" s="3">
        <v>1</v>
      </c>
      <c r="H236" s="5">
        <v>480000</v>
      </c>
    </row>
    <row r="237" spans="1:8" ht="18.75" x14ac:dyDescent="0.2">
      <c r="A237" s="3" t="str">
        <f t="shared" si="25"/>
        <v>98/11/26</v>
      </c>
      <c r="B237" s="3" t="str">
        <f t="shared" si="26"/>
        <v>كالاهاي مصرفي</v>
      </c>
      <c r="C237" s="3" t="str">
        <f>"انبار مصرفي ZU1"</f>
        <v>انبار مصرفي ZU1</v>
      </c>
      <c r="D237" s="3" t="str">
        <f>"0204000887"</f>
        <v>0204000887</v>
      </c>
      <c r="E237" s="3" t="str">
        <f>"خار چشمي DIN472 M26 داخلي"</f>
        <v>خار چشمي DIN472 M26 داخلي</v>
      </c>
      <c r="F237" s="3" t="str">
        <f t="shared" si="29"/>
        <v>عدد</v>
      </c>
      <c r="G237" s="3">
        <v>40</v>
      </c>
      <c r="H237" s="5">
        <v>487800</v>
      </c>
    </row>
    <row r="238" spans="1:8" ht="18.75" x14ac:dyDescent="0.2">
      <c r="A238" s="3" t="str">
        <f t="shared" si="25"/>
        <v>98/11/26</v>
      </c>
      <c r="B238" s="3" t="str">
        <f t="shared" si="26"/>
        <v>كالاهاي مصرفي</v>
      </c>
      <c r="C238" s="3" t="str">
        <f>"انبار مصرفي ZU1"</f>
        <v>انبار مصرفي ZU1</v>
      </c>
      <c r="D238" s="3" t="str">
        <f>"0204000913"</f>
        <v>0204000913</v>
      </c>
      <c r="E238" s="3" t="str">
        <f>"خار چشمي DIN472 M47 داخلي"</f>
        <v>خار چشمي DIN472 M47 داخلي</v>
      </c>
      <c r="F238" s="3" t="str">
        <f t="shared" si="29"/>
        <v>عدد</v>
      </c>
      <c r="G238" s="3">
        <v>50</v>
      </c>
      <c r="H238" s="5">
        <v>493500</v>
      </c>
    </row>
    <row r="239" spans="1:8" ht="18.75" x14ac:dyDescent="0.2">
      <c r="A239" s="3" t="str">
        <f t="shared" si="25"/>
        <v>98/11/26</v>
      </c>
      <c r="B239" s="3" t="str">
        <f t="shared" si="26"/>
        <v>كالاهاي مصرفي</v>
      </c>
      <c r="C239" s="3" t="str">
        <f>"انبار مركزي ( عمومي )"</f>
        <v>انبار مركزي ( عمومي )</v>
      </c>
      <c r="D239" s="3" t="str">
        <f>"0213000804"</f>
        <v>0213000804</v>
      </c>
      <c r="E239" s="3" t="str">
        <f>"تو پيچ ورو پيچ گالوانيزه 1/2 اينچ"</f>
        <v>تو پيچ ورو پيچ گالوانيزه 1/2 اينچ</v>
      </c>
      <c r="F239" s="3" t="str">
        <f t="shared" si="29"/>
        <v>عدد</v>
      </c>
      <c r="G239" s="3">
        <v>13</v>
      </c>
      <c r="H239" s="5">
        <v>494000</v>
      </c>
    </row>
    <row r="240" spans="1:8" ht="18.75" x14ac:dyDescent="0.2">
      <c r="A240" s="3" t="str">
        <f t="shared" si="25"/>
        <v>98/11/26</v>
      </c>
      <c r="B240" s="3" t="str">
        <f t="shared" si="26"/>
        <v>كالاهاي مصرفي</v>
      </c>
      <c r="C240" s="3" t="str">
        <f>"انبار مصرفي ZU1"</f>
        <v>انبار مصرفي ZU1</v>
      </c>
      <c r="D240" s="3" t="str">
        <f>"0204000701"</f>
        <v>0204000701</v>
      </c>
      <c r="E240" s="3" t="str">
        <f>"بيرينگ 7205 BEP"</f>
        <v>بيرينگ 7205 BEP</v>
      </c>
      <c r="F240" s="3" t="str">
        <f t="shared" si="29"/>
        <v>عدد</v>
      </c>
      <c r="G240" s="3">
        <v>1</v>
      </c>
      <c r="H240" s="5">
        <v>495000</v>
      </c>
    </row>
    <row r="241" spans="1:8" ht="18.75" x14ac:dyDescent="0.2">
      <c r="A241" s="3" t="str">
        <f t="shared" si="25"/>
        <v>98/11/26</v>
      </c>
      <c r="B241" s="3" t="str">
        <f t="shared" si="26"/>
        <v>كالاهاي مصرفي</v>
      </c>
      <c r="C241" s="3" t="str">
        <f>"انبار مصرفي ZU1"</f>
        <v>انبار مصرفي ZU1</v>
      </c>
      <c r="D241" s="3" t="str">
        <f>"0211000351"</f>
        <v>0211000351</v>
      </c>
      <c r="E241" s="3" t="str">
        <f>"سيم سربي ضخامت 1.5mm يك كيلويي"</f>
        <v>سيم سربي ضخامت 1.5mm يك كيلويي</v>
      </c>
      <c r="F241" s="3" t="str">
        <f>"کيلوگرم"</f>
        <v>کيلوگرم</v>
      </c>
      <c r="G241" s="3">
        <v>1</v>
      </c>
      <c r="H241" s="5">
        <v>495000</v>
      </c>
    </row>
    <row r="242" spans="1:8" ht="18.75" x14ac:dyDescent="0.2">
      <c r="A242" s="3" t="str">
        <f t="shared" si="25"/>
        <v>98/11/26</v>
      </c>
      <c r="B242" s="3" t="str">
        <f t="shared" si="26"/>
        <v>كالاهاي مصرفي</v>
      </c>
      <c r="C242" s="3" t="str">
        <f>"انبار مصرفي ZU1"</f>
        <v>انبار مصرفي ZU1</v>
      </c>
      <c r="D242" s="3" t="str">
        <f>"0213000356"</f>
        <v>0213000356</v>
      </c>
      <c r="E242" s="3" t="str">
        <f>"پيچ دو سر رزوه استنلس استيل M6"</f>
        <v>پيچ دو سر رزوه استنلس استيل M6</v>
      </c>
      <c r="F242" s="3" t="str">
        <f>"متر"</f>
        <v>متر</v>
      </c>
      <c r="G242" s="3">
        <v>9</v>
      </c>
      <c r="H242" s="5">
        <v>495000</v>
      </c>
    </row>
    <row r="243" spans="1:8" ht="18.75" x14ac:dyDescent="0.2">
      <c r="A243" s="3" t="str">
        <f t="shared" si="25"/>
        <v>98/11/26</v>
      </c>
      <c r="B243" s="3" t="str">
        <f t="shared" si="26"/>
        <v>كالاهاي مصرفي</v>
      </c>
      <c r="C243" s="3" t="str">
        <f>"انبار مركزي ( عمومي )"</f>
        <v>انبار مركزي ( عمومي )</v>
      </c>
      <c r="D243" s="3" t="str">
        <f>"0203000204"</f>
        <v>0203000204</v>
      </c>
      <c r="E243" s="3" t="str">
        <f>"آچار دو سر رينگ 32 و 36"</f>
        <v>آچار دو سر رينگ 32 و 36</v>
      </c>
      <c r="F243" s="3" t="str">
        <f t="shared" ref="F243:F254" si="30">"عدد"</f>
        <v>عدد</v>
      </c>
      <c r="G243" s="3">
        <v>1</v>
      </c>
      <c r="H243" s="5">
        <v>500000</v>
      </c>
    </row>
    <row r="244" spans="1:8" ht="18.75" x14ac:dyDescent="0.2">
      <c r="A244" s="3" t="str">
        <f t="shared" si="25"/>
        <v>98/11/26</v>
      </c>
      <c r="B244" s="3" t="str">
        <f t="shared" si="26"/>
        <v>كالاهاي مصرفي</v>
      </c>
      <c r="C244" s="3" t="str">
        <f>"انبار مركزي ( عمومي )"</f>
        <v>انبار مركزي ( عمومي )</v>
      </c>
      <c r="D244" s="3" t="str">
        <f>"0203000205"</f>
        <v>0203000205</v>
      </c>
      <c r="E244" s="3" t="str">
        <f>"آچار دو سر تخت 34  * 36"</f>
        <v>آچار دو سر تخت 34  * 36</v>
      </c>
      <c r="F244" s="3" t="str">
        <f t="shared" si="30"/>
        <v>عدد</v>
      </c>
      <c r="G244" s="3">
        <v>1</v>
      </c>
      <c r="H244" s="5">
        <v>500000</v>
      </c>
    </row>
    <row r="245" spans="1:8" ht="18.75" x14ac:dyDescent="0.2">
      <c r="A245" s="3" t="str">
        <f t="shared" si="25"/>
        <v>98/11/26</v>
      </c>
      <c r="B245" s="3" t="str">
        <f t="shared" si="26"/>
        <v>كالاهاي مصرفي</v>
      </c>
      <c r="C245" s="3" t="str">
        <f t="shared" ref="C245:C250" si="31">"انبار مصرفي ZU1"</f>
        <v>انبار مصرفي ZU1</v>
      </c>
      <c r="D245" s="3" t="str">
        <f>"0204000783"</f>
        <v>0204000783</v>
      </c>
      <c r="E245" s="3" t="str">
        <f>"كاسه نمد 7*27*17"</f>
        <v>كاسه نمد 7*27*17</v>
      </c>
      <c r="F245" s="3" t="str">
        <f t="shared" si="30"/>
        <v>عدد</v>
      </c>
      <c r="G245" s="3">
        <v>10</v>
      </c>
      <c r="H245" s="5">
        <v>500000</v>
      </c>
    </row>
    <row r="246" spans="1:8" ht="18.75" x14ac:dyDescent="0.2">
      <c r="A246" s="3" t="str">
        <f t="shared" si="25"/>
        <v>98/11/26</v>
      </c>
      <c r="B246" s="3" t="str">
        <f t="shared" si="26"/>
        <v>كالاهاي مصرفي</v>
      </c>
      <c r="C246" s="3" t="str">
        <f t="shared" si="31"/>
        <v>انبار مصرفي ZU1</v>
      </c>
      <c r="D246" s="3" t="str">
        <f>"0204001413"</f>
        <v>0204001413</v>
      </c>
      <c r="E246" s="3" t="str">
        <f>"فيبر وفنر 30mm"</f>
        <v>فيبر وفنر 30mm</v>
      </c>
      <c r="F246" s="3" t="str">
        <f t="shared" si="30"/>
        <v>عدد</v>
      </c>
      <c r="G246" s="3">
        <v>5</v>
      </c>
      <c r="H246" s="5">
        <v>500000</v>
      </c>
    </row>
    <row r="247" spans="1:8" ht="18.75" x14ac:dyDescent="0.2">
      <c r="A247" s="3" t="str">
        <f t="shared" si="25"/>
        <v>98/11/26</v>
      </c>
      <c r="B247" s="3" t="str">
        <f t="shared" si="26"/>
        <v>كالاهاي مصرفي</v>
      </c>
      <c r="C247" s="3" t="str">
        <f t="shared" si="31"/>
        <v>انبار مصرفي ZU1</v>
      </c>
      <c r="D247" s="3" t="str">
        <f>"0204001833"</f>
        <v>0204001833</v>
      </c>
      <c r="E247" s="3" t="str">
        <f>"كاسه نمد 9*48*65"</f>
        <v>كاسه نمد 9*48*65</v>
      </c>
      <c r="F247" s="3" t="str">
        <f t="shared" si="30"/>
        <v>عدد</v>
      </c>
      <c r="G247" s="3">
        <v>10</v>
      </c>
      <c r="H247" s="5">
        <v>500000</v>
      </c>
    </row>
    <row r="248" spans="1:8" ht="18.75" x14ac:dyDescent="0.2">
      <c r="A248" s="3" t="str">
        <f t="shared" si="25"/>
        <v>98/11/26</v>
      </c>
      <c r="B248" s="3" t="str">
        <f t="shared" si="26"/>
        <v>كالاهاي مصرفي</v>
      </c>
      <c r="C248" s="3" t="str">
        <f t="shared" si="31"/>
        <v>انبار مصرفي ZU1</v>
      </c>
      <c r="D248" s="3" t="str">
        <f>"0206000168"</f>
        <v>0206000168</v>
      </c>
      <c r="E248" s="3" t="str">
        <f>"بست شيلنگي 2 اينچ"</f>
        <v>بست شيلنگي 2 اينچ</v>
      </c>
      <c r="F248" s="3" t="str">
        <f t="shared" si="30"/>
        <v>عدد</v>
      </c>
      <c r="G248" s="3">
        <v>10</v>
      </c>
      <c r="H248" s="5">
        <v>500000</v>
      </c>
    </row>
    <row r="249" spans="1:8" ht="18.75" x14ac:dyDescent="0.2">
      <c r="A249" s="3" t="str">
        <f t="shared" si="25"/>
        <v>98/11/26</v>
      </c>
      <c r="B249" s="3" t="str">
        <f t="shared" si="26"/>
        <v>كالاهاي مصرفي</v>
      </c>
      <c r="C249" s="3" t="str">
        <f t="shared" si="31"/>
        <v>انبار مصرفي ZU1</v>
      </c>
      <c r="D249" s="3" t="str">
        <f>"0204001080"</f>
        <v>0204001080</v>
      </c>
      <c r="E249" s="3" t="str">
        <f>"كاسه نمد 7*65*50"</f>
        <v>كاسه نمد 7*65*50</v>
      </c>
      <c r="F249" s="3" t="str">
        <f t="shared" si="30"/>
        <v>عدد</v>
      </c>
      <c r="G249" s="3">
        <v>4</v>
      </c>
      <c r="H249" s="5">
        <v>506000</v>
      </c>
    </row>
    <row r="250" spans="1:8" ht="18.75" x14ac:dyDescent="0.2">
      <c r="A250" s="3" t="str">
        <f t="shared" si="25"/>
        <v>98/11/26</v>
      </c>
      <c r="B250" s="3" t="str">
        <f t="shared" si="26"/>
        <v>كالاهاي مصرفي</v>
      </c>
      <c r="C250" s="3" t="str">
        <f t="shared" si="31"/>
        <v>انبار مصرفي ZU1</v>
      </c>
      <c r="D250" s="3" t="str">
        <f>"0204001095"</f>
        <v>0204001095</v>
      </c>
      <c r="E250" s="3" t="str">
        <f>"کاسه نمد 10*90*50"</f>
        <v>کاسه نمد 10*90*50</v>
      </c>
      <c r="F250" s="3" t="str">
        <f t="shared" si="30"/>
        <v>عدد</v>
      </c>
      <c r="G250" s="3">
        <v>5</v>
      </c>
      <c r="H250" s="5">
        <v>513889</v>
      </c>
    </row>
    <row r="251" spans="1:8" ht="18.75" x14ac:dyDescent="0.2">
      <c r="A251" s="3" t="str">
        <f t="shared" si="25"/>
        <v>98/11/26</v>
      </c>
      <c r="B251" s="3" t="str">
        <f t="shared" si="26"/>
        <v>كالاهاي مصرفي</v>
      </c>
      <c r="C251" s="3" t="str">
        <f>"انبار مركزي ( عمومي )"</f>
        <v>انبار مركزي ( عمومي )</v>
      </c>
      <c r="D251" s="3" t="str">
        <f>"0906000400"</f>
        <v>0906000400</v>
      </c>
      <c r="E251" s="3" t="str">
        <f>"افزاينده VGA مادگي به مادگي"</f>
        <v>افزاينده VGA مادگي به مادگي</v>
      </c>
      <c r="F251" s="3" t="str">
        <f t="shared" si="30"/>
        <v>عدد</v>
      </c>
      <c r="G251" s="3">
        <v>3</v>
      </c>
      <c r="H251" s="5">
        <v>517500</v>
      </c>
    </row>
    <row r="252" spans="1:8" ht="18.75" x14ac:dyDescent="0.2">
      <c r="A252" s="3" t="str">
        <f t="shared" si="25"/>
        <v>98/11/26</v>
      </c>
      <c r="B252" s="3" t="str">
        <f t="shared" si="26"/>
        <v>كالاهاي مصرفي</v>
      </c>
      <c r="C252" s="3" t="str">
        <f>"انبار مركزي ( عمومي )"</f>
        <v>انبار مركزي ( عمومي )</v>
      </c>
      <c r="D252" s="3" t="str">
        <f>"0906000401"</f>
        <v>0906000401</v>
      </c>
      <c r="E252" s="3" t="str">
        <f>"افزاينده HDMI مادگي به مادگي"</f>
        <v>افزاينده HDMI مادگي به مادگي</v>
      </c>
      <c r="F252" s="3" t="str">
        <f t="shared" si="30"/>
        <v>عدد</v>
      </c>
      <c r="G252" s="3">
        <v>3</v>
      </c>
      <c r="H252" s="5">
        <v>517500</v>
      </c>
    </row>
    <row r="253" spans="1:8" ht="18.75" x14ac:dyDescent="0.2">
      <c r="A253" s="3" t="str">
        <f t="shared" si="25"/>
        <v>98/11/26</v>
      </c>
      <c r="B253" s="3" t="str">
        <f t="shared" si="26"/>
        <v>كالاهاي مصرفي</v>
      </c>
      <c r="C253" s="3" t="str">
        <f>"انبار مصرفي ZU1"</f>
        <v>انبار مصرفي ZU1</v>
      </c>
      <c r="D253" s="3" t="str">
        <f>"0213000063"</f>
        <v>0213000063</v>
      </c>
      <c r="E253" s="3" t="str">
        <f>"واشر تخت M18"</f>
        <v>واشر تخت M18</v>
      </c>
      <c r="F253" s="3" t="str">
        <f t="shared" si="30"/>
        <v>عدد</v>
      </c>
      <c r="G253" s="3">
        <v>310</v>
      </c>
      <c r="H253" s="5">
        <v>520800</v>
      </c>
    </row>
    <row r="254" spans="1:8" ht="18.75" x14ac:dyDescent="0.2">
      <c r="A254" s="3" t="str">
        <f t="shared" si="25"/>
        <v>98/11/26</v>
      </c>
      <c r="B254" s="3" t="str">
        <f t="shared" si="26"/>
        <v>كالاهاي مصرفي</v>
      </c>
      <c r="C254" s="3" t="str">
        <f>"انبار مركزي ( عمومي )"</f>
        <v>انبار مركزي ( عمومي )</v>
      </c>
      <c r="D254" s="3" t="str">
        <f>"0206000193"</f>
        <v>0206000193</v>
      </c>
      <c r="E254" s="3" t="str">
        <f>"بست فلزي يكطرفه 3/4"</f>
        <v>بست فلزي يكطرفه 3/4</v>
      </c>
      <c r="F254" s="3" t="str">
        <f t="shared" si="30"/>
        <v>عدد</v>
      </c>
      <c r="G254" s="3">
        <v>50</v>
      </c>
      <c r="H254" s="5">
        <v>522500</v>
      </c>
    </row>
    <row r="255" spans="1:8" ht="18.75" x14ac:dyDescent="0.2">
      <c r="A255" s="3" t="str">
        <f t="shared" si="25"/>
        <v>98/11/26</v>
      </c>
      <c r="B255" s="3" t="str">
        <f t="shared" si="26"/>
        <v>كالاهاي مصرفي</v>
      </c>
      <c r="C255" s="3" t="str">
        <f>"انبار مركزي ( عمومي )"</f>
        <v>انبار مركزي ( عمومي )</v>
      </c>
      <c r="D255" s="3" t="str">
        <f>"0601000071"</f>
        <v>0601000071</v>
      </c>
      <c r="E255" s="3" t="str">
        <f>"چكمه لاستيكي"</f>
        <v>چكمه لاستيكي</v>
      </c>
      <c r="F255" s="3" t="str">
        <f>"جفت"</f>
        <v>جفت</v>
      </c>
      <c r="G255" s="3">
        <v>4</v>
      </c>
      <c r="H255" s="5">
        <v>524889</v>
      </c>
    </row>
    <row r="256" spans="1:8" ht="18.75" x14ac:dyDescent="0.2">
      <c r="A256" s="3" t="str">
        <f t="shared" si="25"/>
        <v>98/11/26</v>
      </c>
      <c r="B256" s="3" t="str">
        <f t="shared" si="26"/>
        <v>كالاهاي مصرفي</v>
      </c>
      <c r="C256" s="3" t="str">
        <f>"انبار مصرفي ZU1"</f>
        <v>انبار مصرفي ZU1</v>
      </c>
      <c r="D256" s="3" t="str">
        <f>"0213000386"</f>
        <v>0213000386</v>
      </c>
      <c r="E256" s="3" t="str">
        <f>"پيچ يك سر رزوه  كربن استيل M12*30"</f>
        <v>پيچ يك سر رزوه  كربن استيل M12*30</v>
      </c>
      <c r="F256" s="3" t="str">
        <f>"عدد"</f>
        <v>عدد</v>
      </c>
      <c r="G256" s="3">
        <v>65</v>
      </c>
      <c r="H256" s="5">
        <v>525880</v>
      </c>
    </row>
    <row r="257" spans="1:8" ht="18.75" x14ac:dyDescent="0.2">
      <c r="A257" s="3" t="str">
        <f t="shared" si="25"/>
        <v>98/11/26</v>
      </c>
      <c r="B257" s="3" t="str">
        <f t="shared" si="26"/>
        <v>كالاهاي مصرفي</v>
      </c>
      <c r="C257" s="3" t="str">
        <f>"انبار مصرفي ZU1"</f>
        <v>انبار مصرفي ZU1</v>
      </c>
      <c r="D257" s="3" t="str">
        <f>"0213000374"</f>
        <v>0213000374</v>
      </c>
      <c r="E257" s="3" t="str">
        <f>"پيچ يك سر رزوه كربن استيل M8*25"</f>
        <v>پيچ يك سر رزوه كربن استيل M8*25</v>
      </c>
      <c r="F257" s="3" t="str">
        <f>"عدد"</f>
        <v>عدد</v>
      </c>
      <c r="G257" s="3">
        <v>170</v>
      </c>
      <c r="H257" s="5">
        <v>526550</v>
      </c>
    </row>
    <row r="258" spans="1:8" ht="18.75" x14ac:dyDescent="0.2">
      <c r="A258" s="3" t="str">
        <f t="shared" ref="A258:A321" si="32">"98/11/26"</f>
        <v>98/11/26</v>
      </c>
      <c r="B258" s="3" t="str">
        <f t="shared" ref="B258:B321" si="33">"كالاهاي مصرفي"</f>
        <v>كالاهاي مصرفي</v>
      </c>
      <c r="C258" s="3" t="str">
        <f>"انبار مصرفي ZU1"</f>
        <v>انبار مصرفي ZU1</v>
      </c>
      <c r="D258" s="3" t="str">
        <f>"0204000889"</f>
        <v>0204000889</v>
      </c>
      <c r="E258" s="3" t="str">
        <f>"خار چشمي DIN472 M28 داخلي"</f>
        <v>خار چشمي DIN472 M28 داخلي</v>
      </c>
      <c r="F258" s="3" t="str">
        <f>"عدد"</f>
        <v>عدد</v>
      </c>
      <c r="G258" s="3">
        <v>40</v>
      </c>
      <c r="H258" s="5">
        <v>528200</v>
      </c>
    </row>
    <row r="259" spans="1:8" ht="18.75" x14ac:dyDescent="0.2">
      <c r="A259" s="3" t="str">
        <f t="shared" si="32"/>
        <v>98/11/26</v>
      </c>
      <c r="B259" s="3" t="str">
        <f t="shared" si="33"/>
        <v>كالاهاي مصرفي</v>
      </c>
      <c r="C259" s="3" t="str">
        <f>"انبار مصرفي ZU1"</f>
        <v>انبار مصرفي ZU1</v>
      </c>
      <c r="D259" s="3" t="str">
        <f>"0204001068"</f>
        <v>0204001068</v>
      </c>
      <c r="E259" s="3" t="str">
        <f>"اورينگ NBR ضخامت 3"</f>
        <v>اورينگ NBR ضخامت 3</v>
      </c>
      <c r="F259" s="3" t="str">
        <f>"متر"</f>
        <v>متر</v>
      </c>
      <c r="G259" s="3">
        <v>19</v>
      </c>
      <c r="H259" s="5">
        <v>532000</v>
      </c>
    </row>
    <row r="260" spans="1:8" ht="18.75" x14ac:dyDescent="0.2">
      <c r="A260" s="3" t="str">
        <f t="shared" si="32"/>
        <v>98/11/26</v>
      </c>
      <c r="B260" s="3" t="str">
        <f t="shared" si="33"/>
        <v>كالاهاي مصرفي</v>
      </c>
      <c r="C260" s="3" t="str">
        <f>"انبار مصرفي ZU1"</f>
        <v>انبار مصرفي ZU1</v>
      </c>
      <c r="D260" s="3" t="str">
        <f>"0206000443"</f>
        <v>0206000443</v>
      </c>
      <c r="E260" s="3" t="str">
        <f>"بست شيلنگي 1/2 اينچ"</f>
        <v>بست شيلنگي 1/2 اينچ</v>
      </c>
      <c r="F260" s="3" t="str">
        <f t="shared" ref="F260:F268" si="34">"عدد"</f>
        <v>عدد</v>
      </c>
      <c r="G260" s="3">
        <v>45</v>
      </c>
      <c r="H260" s="5">
        <v>533446</v>
      </c>
    </row>
    <row r="261" spans="1:8" ht="18.75" x14ac:dyDescent="0.2">
      <c r="A261" s="3" t="str">
        <f t="shared" si="32"/>
        <v>98/11/26</v>
      </c>
      <c r="B261" s="3" t="str">
        <f t="shared" si="33"/>
        <v>كالاهاي مصرفي</v>
      </c>
      <c r="C261" s="3" t="str">
        <f>"انبار مركزي ( عمومي )"</f>
        <v>انبار مركزي ( عمومي )</v>
      </c>
      <c r="D261" s="3" t="str">
        <f>"0203000077"</f>
        <v>0203000077</v>
      </c>
      <c r="E261" s="3" t="str">
        <f>"متر فلزي 50 متري"</f>
        <v>متر فلزي 50 متري</v>
      </c>
      <c r="F261" s="3" t="str">
        <f t="shared" si="34"/>
        <v>عدد</v>
      </c>
      <c r="G261" s="3">
        <v>1</v>
      </c>
      <c r="H261" s="5">
        <v>540000</v>
      </c>
    </row>
    <row r="262" spans="1:8" ht="18.75" x14ac:dyDescent="0.2">
      <c r="A262" s="3" t="str">
        <f t="shared" si="32"/>
        <v>98/11/26</v>
      </c>
      <c r="B262" s="3" t="str">
        <f t="shared" si="33"/>
        <v>كالاهاي مصرفي</v>
      </c>
      <c r="C262" s="3" t="str">
        <f>"انبار مصرفي ZU1"</f>
        <v>انبار مصرفي ZU1</v>
      </c>
      <c r="D262" s="3" t="str">
        <f>"0204001006"</f>
        <v>0204001006</v>
      </c>
      <c r="E262" s="3" t="str">
        <f>"خار چشمي DIN472 M95 داخلي"</f>
        <v>خار چشمي DIN472 M95 داخلي</v>
      </c>
      <c r="F262" s="3" t="str">
        <f t="shared" si="34"/>
        <v>عدد</v>
      </c>
      <c r="G262" s="3">
        <v>20</v>
      </c>
      <c r="H262" s="5">
        <v>540000</v>
      </c>
    </row>
    <row r="263" spans="1:8" ht="18.75" x14ac:dyDescent="0.2">
      <c r="A263" s="3" t="str">
        <f t="shared" si="32"/>
        <v>98/11/26</v>
      </c>
      <c r="B263" s="3" t="str">
        <f t="shared" si="33"/>
        <v>كالاهاي مصرفي</v>
      </c>
      <c r="C263" s="3" t="str">
        <f>"انبار مصرفي ZU1"</f>
        <v>انبار مصرفي ZU1</v>
      </c>
      <c r="D263" s="3" t="str">
        <f>"0215000132"</f>
        <v>0215000132</v>
      </c>
      <c r="E263" s="3" t="str">
        <f>"فيلتر دراير 5/8"</f>
        <v>فيلتر دراير 5/8</v>
      </c>
      <c r="F263" s="3" t="str">
        <f t="shared" si="34"/>
        <v>عدد</v>
      </c>
      <c r="G263" s="3">
        <v>1</v>
      </c>
      <c r="H263" s="5">
        <v>540000</v>
      </c>
    </row>
    <row r="264" spans="1:8" ht="18.75" x14ac:dyDescent="0.2">
      <c r="A264" s="3" t="str">
        <f t="shared" si="32"/>
        <v>98/11/26</v>
      </c>
      <c r="B264" s="3" t="str">
        <f t="shared" si="33"/>
        <v>كالاهاي مصرفي</v>
      </c>
      <c r="C264" s="3" t="str">
        <f>"انبار مصرفي ZU1"</f>
        <v>انبار مصرفي ZU1</v>
      </c>
      <c r="D264" s="3" t="str">
        <f>"0203000045"</f>
        <v>0203000045</v>
      </c>
      <c r="E264" s="3" t="str">
        <f>"چكش 100 گرمي"</f>
        <v>چكش 100 گرمي</v>
      </c>
      <c r="F264" s="3" t="str">
        <f t="shared" si="34"/>
        <v>عدد</v>
      </c>
      <c r="G264" s="3">
        <v>4</v>
      </c>
      <c r="H264" s="5">
        <v>550000</v>
      </c>
    </row>
    <row r="265" spans="1:8" ht="18.75" x14ac:dyDescent="0.2">
      <c r="A265" s="3" t="str">
        <f t="shared" si="32"/>
        <v>98/11/26</v>
      </c>
      <c r="B265" s="3" t="str">
        <f t="shared" si="33"/>
        <v>كالاهاي مصرفي</v>
      </c>
      <c r="C265" s="3" t="str">
        <f>"انبار مصرفي ZU1"</f>
        <v>انبار مصرفي ZU1</v>
      </c>
      <c r="D265" s="3" t="str">
        <f>"0204001414"</f>
        <v>0204001414</v>
      </c>
      <c r="E265" s="3" t="str">
        <f>"فيبر وفنر 32mm"</f>
        <v>فيبر وفنر 32mm</v>
      </c>
      <c r="F265" s="3" t="str">
        <f t="shared" si="34"/>
        <v>عدد</v>
      </c>
      <c r="G265" s="3">
        <v>5</v>
      </c>
      <c r="H265" s="5">
        <v>550000</v>
      </c>
    </row>
    <row r="266" spans="1:8" ht="18.75" x14ac:dyDescent="0.2">
      <c r="A266" s="3" t="str">
        <f t="shared" si="32"/>
        <v>98/11/26</v>
      </c>
      <c r="B266" s="3" t="str">
        <f t="shared" si="33"/>
        <v>كالاهاي مصرفي</v>
      </c>
      <c r="C266" s="3" t="str">
        <f>"انبار مصرفي ZU1"</f>
        <v>انبار مصرفي ZU1</v>
      </c>
      <c r="D266" s="3" t="str">
        <f>"0204000891"</f>
        <v>0204000891</v>
      </c>
      <c r="E266" s="3" t="str">
        <f>"خار چشمي DIN472 M30 داخلي"</f>
        <v>خار چشمي DIN472 M30 داخلي</v>
      </c>
      <c r="F266" s="3" t="str">
        <f t="shared" si="34"/>
        <v>عدد</v>
      </c>
      <c r="G266" s="3">
        <v>40</v>
      </c>
      <c r="H266" s="5">
        <v>553400</v>
      </c>
    </row>
    <row r="267" spans="1:8" ht="18.75" x14ac:dyDescent="0.2">
      <c r="A267" s="3" t="str">
        <f t="shared" si="32"/>
        <v>98/11/26</v>
      </c>
      <c r="B267" s="3" t="str">
        <f t="shared" si="33"/>
        <v>كالاهاي مصرفي</v>
      </c>
      <c r="C267" s="3" t="str">
        <f>"انبار مركزي ( عمومي )"</f>
        <v>انبار مركزي ( عمومي )</v>
      </c>
      <c r="D267" s="3" t="str">
        <f>"0213000613"</f>
        <v>0213000613</v>
      </c>
      <c r="E267" s="3" t="str">
        <f>"گونيا  فلزي 40 سانتي 90درجه"</f>
        <v>گونيا  فلزي 40 سانتي 90درجه</v>
      </c>
      <c r="F267" s="3" t="str">
        <f t="shared" si="34"/>
        <v>عدد</v>
      </c>
      <c r="G267" s="3">
        <v>3</v>
      </c>
      <c r="H267" s="5">
        <v>555000</v>
      </c>
    </row>
    <row r="268" spans="1:8" ht="18.75" x14ac:dyDescent="0.2">
      <c r="A268" s="3" t="str">
        <f t="shared" si="32"/>
        <v>98/11/26</v>
      </c>
      <c r="B268" s="3" t="str">
        <f t="shared" si="33"/>
        <v>كالاهاي مصرفي</v>
      </c>
      <c r="C268" s="3" t="str">
        <f>"انبار مصرفي ZU1"</f>
        <v>انبار مصرفي ZU1</v>
      </c>
      <c r="D268" s="3" t="str">
        <f>"0204001393"</f>
        <v>0204001393</v>
      </c>
      <c r="E268" s="3" t="str">
        <f>"اورينگ HNBR 8*2"</f>
        <v>اورينگ HNBR 8*2</v>
      </c>
      <c r="F268" s="3" t="str">
        <f t="shared" si="34"/>
        <v>عدد</v>
      </c>
      <c r="G268" s="3">
        <v>4</v>
      </c>
      <c r="H268" s="5">
        <v>560000</v>
      </c>
    </row>
    <row r="269" spans="1:8" ht="18.75" x14ac:dyDescent="0.2">
      <c r="A269" s="3" t="str">
        <f t="shared" si="32"/>
        <v>98/11/26</v>
      </c>
      <c r="B269" s="3" t="str">
        <f t="shared" si="33"/>
        <v>كالاهاي مصرفي</v>
      </c>
      <c r="C269" s="3" t="str">
        <f>"انبار مركزي ( عمومي )"</f>
        <v>انبار مركزي ( عمومي )</v>
      </c>
      <c r="D269" s="3" t="str">
        <f>"0211000791"</f>
        <v>0211000791</v>
      </c>
      <c r="E269" s="3" t="str">
        <f>"طناب"</f>
        <v>طناب</v>
      </c>
      <c r="F269" s="3" t="str">
        <f>"متر"</f>
        <v>متر</v>
      </c>
      <c r="G269" s="3">
        <v>20</v>
      </c>
      <c r="H269" s="5">
        <v>560000</v>
      </c>
    </row>
    <row r="270" spans="1:8" ht="18.75" x14ac:dyDescent="0.2">
      <c r="A270" s="3" t="str">
        <f t="shared" si="32"/>
        <v>98/11/26</v>
      </c>
      <c r="B270" s="3" t="str">
        <f t="shared" si="33"/>
        <v>كالاهاي مصرفي</v>
      </c>
      <c r="C270" s="3" t="str">
        <f>"انبار مركزي ( عمومي )"</f>
        <v>انبار مركزي ( عمومي )</v>
      </c>
      <c r="D270" s="3" t="str">
        <f>"0213001021"</f>
        <v>0213001021</v>
      </c>
      <c r="E270" s="3" t="str">
        <f>"تسمه حمل بار 2متري 10 تن"</f>
        <v>تسمه حمل بار 2متري 10 تن</v>
      </c>
      <c r="F270" s="3" t="str">
        <f t="shared" ref="F270:F276" si="35">"عدد"</f>
        <v>عدد</v>
      </c>
      <c r="G270" s="3">
        <v>1</v>
      </c>
      <c r="H270" s="5">
        <v>560000</v>
      </c>
    </row>
    <row r="271" spans="1:8" ht="18.75" x14ac:dyDescent="0.2">
      <c r="A271" s="3" t="str">
        <f t="shared" si="32"/>
        <v>98/11/26</v>
      </c>
      <c r="B271" s="3" t="str">
        <f t="shared" si="33"/>
        <v>كالاهاي مصرفي</v>
      </c>
      <c r="C271" s="3" t="str">
        <f>"انبار مركزي ( عمومي )"</f>
        <v>انبار مركزي ( عمومي )</v>
      </c>
      <c r="D271" s="3" t="str">
        <f>"0203000091"</f>
        <v>0203000091</v>
      </c>
      <c r="E271" s="3" t="str">
        <f>"انبردست"</f>
        <v>انبردست</v>
      </c>
      <c r="F271" s="3" t="str">
        <f t="shared" si="35"/>
        <v>عدد</v>
      </c>
      <c r="G271" s="3">
        <v>1</v>
      </c>
      <c r="H271" s="5">
        <v>569349</v>
      </c>
    </row>
    <row r="272" spans="1:8" ht="18.75" x14ac:dyDescent="0.2">
      <c r="A272" s="3" t="str">
        <f t="shared" si="32"/>
        <v>98/11/26</v>
      </c>
      <c r="B272" s="3" t="str">
        <f t="shared" si="33"/>
        <v>كالاهاي مصرفي</v>
      </c>
      <c r="C272" s="3" t="str">
        <f>"انبار مصرفي ZU1"</f>
        <v>انبار مصرفي ZU1</v>
      </c>
      <c r="D272" s="3" t="str">
        <f>"0204001201"</f>
        <v>0204001201</v>
      </c>
      <c r="E272" s="3" t="str">
        <f>"كاسه نمد 13*130*160"</f>
        <v>كاسه نمد 13*130*160</v>
      </c>
      <c r="F272" s="3" t="str">
        <f t="shared" si="35"/>
        <v>عدد</v>
      </c>
      <c r="G272" s="3">
        <v>4</v>
      </c>
      <c r="H272" s="5">
        <v>572000</v>
      </c>
    </row>
    <row r="273" spans="1:8" ht="18.75" x14ac:dyDescent="0.2">
      <c r="A273" s="3" t="str">
        <f t="shared" si="32"/>
        <v>98/11/26</v>
      </c>
      <c r="B273" s="3" t="str">
        <f t="shared" si="33"/>
        <v>كالاهاي مصرفي</v>
      </c>
      <c r="C273" s="3" t="str">
        <f>"انبار مصرفي ZU1"</f>
        <v>انبار مصرفي ZU1</v>
      </c>
      <c r="D273" s="3" t="str">
        <f>"0213000076"</f>
        <v>0213000076</v>
      </c>
      <c r="E273" s="3" t="str">
        <f>"پيچ كربن استيل M6*120"</f>
        <v>پيچ كربن استيل M6*120</v>
      </c>
      <c r="F273" s="3" t="str">
        <f t="shared" si="35"/>
        <v>عدد</v>
      </c>
      <c r="G273" s="3">
        <v>50</v>
      </c>
      <c r="H273" s="5">
        <v>572000</v>
      </c>
    </row>
    <row r="274" spans="1:8" ht="18.75" x14ac:dyDescent="0.2">
      <c r="A274" s="3" t="str">
        <f t="shared" si="32"/>
        <v>98/11/26</v>
      </c>
      <c r="B274" s="3" t="str">
        <f t="shared" si="33"/>
        <v>كالاهاي مصرفي</v>
      </c>
      <c r="C274" s="3" t="str">
        <f>"انبار مصرفي ZU1"</f>
        <v>انبار مصرفي ZU1</v>
      </c>
      <c r="D274" s="3" t="str">
        <f>"0213000075"</f>
        <v>0213000075</v>
      </c>
      <c r="E274" s="3" t="str">
        <f>"پيچ استنلس استيل M6*120"</f>
        <v>پيچ استنلس استيل M6*120</v>
      </c>
      <c r="F274" s="3" t="str">
        <f t="shared" si="35"/>
        <v>عدد</v>
      </c>
      <c r="G274" s="3">
        <v>50</v>
      </c>
      <c r="H274" s="5">
        <v>575000</v>
      </c>
    </row>
    <row r="275" spans="1:8" ht="18.75" x14ac:dyDescent="0.2">
      <c r="A275" s="3" t="str">
        <f t="shared" si="32"/>
        <v>98/11/26</v>
      </c>
      <c r="B275" s="3" t="str">
        <f t="shared" si="33"/>
        <v>كالاهاي مصرفي</v>
      </c>
      <c r="C275" s="3" t="str">
        <f>"انبار مركزي ( عمومي )"</f>
        <v>انبار مركزي ( عمومي )</v>
      </c>
      <c r="D275" s="3" t="str">
        <f>"0213000748"</f>
        <v>0213000748</v>
      </c>
      <c r="E275" s="3" t="str">
        <f>"خمير سيليكون"</f>
        <v>خمير سيليكون</v>
      </c>
      <c r="F275" s="3" t="str">
        <f t="shared" si="35"/>
        <v>عدد</v>
      </c>
      <c r="G275" s="3">
        <v>20</v>
      </c>
      <c r="H275" s="5">
        <v>575000</v>
      </c>
    </row>
    <row r="276" spans="1:8" ht="18.75" x14ac:dyDescent="0.2">
      <c r="A276" s="3" t="str">
        <f t="shared" si="32"/>
        <v>98/11/26</v>
      </c>
      <c r="B276" s="3" t="str">
        <f t="shared" si="33"/>
        <v>كالاهاي مصرفي</v>
      </c>
      <c r="C276" s="3" t="str">
        <f>"انبار مصرفي ZU1"</f>
        <v>انبار مصرفي ZU1</v>
      </c>
      <c r="D276" s="3" t="str">
        <f>"0204000980"</f>
        <v>0204000980</v>
      </c>
      <c r="E276" s="3" t="str">
        <f>"بيرينگ 6010"</f>
        <v>بيرينگ 6010</v>
      </c>
      <c r="F276" s="3" t="str">
        <f t="shared" si="35"/>
        <v>عدد</v>
      </c>
      <c r="G276" s="3">
        <v>3</v>
      </c>
      <c r="H276" s="5">
        <v>582000</v>
      </c>
    </row>
    <row r="277" spans="1:8" ht="18.75" x14ac:dyDescent="0.2">
      <c r="A277" s="3" t="str">
        <f t="shared" si="32"/>
        <v>98/11/26</v>
      </c>
      <c r="B277" s="3" t="str">
        <f t="shared" si="33"/>
        <v>كالاهاي مصرفي</v>
      </c>
      <c r="C277" s="3" t="str">
        <f>"انبار مصرفي ZU1"</f>
        <v>انبار مصرفي ZU1</v>
      </c>
      <c r="D277" s="3" t="str">
        <f>"0211001135"</f>
        <v>0211001135</v>
      </c>
      <c r="E277" s="3" t="str">
        <f>"نوار چسب برق"</f>
        <v>نوار چسب برق</v>
      </c>
      <c r="F277" s="3" t="str">
        <f>"حلقه"</f>
        <v>حلقه</v>
      </c>
      <c r="G277" s="3">
        <v>12</v>
      </c>
      <c r="H277" s="5">
        <v>583557</v>
      </c>
    </row>
    <row r="278" spans="1:8" ht="18.75" x14ac:dyDescent="0.2">
      <c r="A278" s="3" t="str">
        <f t="shared" si="32"/>
        <v>98/11/26</v>
      </c>
      <c r="B278" s="3" t="str">
        <f t="shared" si="33"/>
        <v>كالاهاي مصرفي</v>
      </c>
      <c r="C278" s="3" t="str">
        <f>"انبار مصرفي ZU1"</f>
        <v>انبار مصرفي ZU1</v>
      </c>
      <c r="D278" s="3" t="str">
        <f>"0204000309"</f>
        <v>0204000309</v>
      </c>
      <c r="E278" s="3" t="str">
        <f>"كاسه نمد 12*160*130"</f>
        <v>كاسه نمد 12*160*130</v>
      </c>
      <c r="F278" s="3" t="str">
        <f>"عدد"</f>
        <v>عدد</v>
      </c>
      <c r="G278" s="3">
        <v>3</v>
      </c>
      <c r="H278" s="5">
        <v>585000</v>
      </c>
    </row>
    <row r="279" spans="1:8" ht="18.75" x14ac:dyDescent="0.2">
      <c r="A279" s="3" t="str">
        <f t="shared" si="32"/>
        <v>98/11/26</v>
      </c>
      <c r="B279" s="3" t="str">
        <f t="shared" si="33"/>
        <v>كالاهاي مصرفي</v>
      </c>
      <c r="C279" s="3" t="str">
        <f>"انبار مصرفي ZU1"</f>
        <v>انبار مصرفي ZU1</v>
      </c>
      <c r="D279" s="3" t="str">
        <f>"0213000119"</f>
        <v>0213000119</v>
      </c>
      <c r="E279" s="3" t="str">
        <f>"واشر تخت M24"</f>
        <v>واشر تخت M24</v>
      </c>
      <c r="F279" s="3" t="str">
        <f>"عدد"</f>
        <v>عدد</v>
      </c>
      <c r="G279" s="3">
        <v>208</v>
      </c>
      <c r="H279" s="5">
        <v>592800</v>
      </c>
    </row>
    <row r="280" spans="1:8" ht="18.75" x14ac:dyDescent="0.2">
      <c r="A280" s="3" t="str">
        <f t="shared" si="32"/>
        <v>98/11/26</v>
      </c>
      <c r="B280" s="3" t="str">
        <f t="shared" si="33"/>
        <v>كالاهاي مصرفي</v>
      </c>
      <c r="C280" s="3" t="str">
        <f>"انبار مركزي ( عمومي )"</f>
        <v>انبار مركزي ( عمومي )</v>
      </c>
      <c r="D280" s="3" t="str">
        <f>"0101000061"</f>
        <v>0101000061</v>
      </c>
      <c r="E280" s="3" t="str">
        <f>"سيم آرماتور بندي نمره 0/5"</f>
        <v>سيم آرماتور بندي نمره 0/5</v>
      </c>
      <c r="F280" s="3" t="str">
        <f>"کيلوگرم"</f>
        <v>کيلوگرم</v>
      </c>
      <c r="G280" s="3">
        <v>4</v>
      </c>
      <c r="H280" s="5">
        <v>600000</v>
      </c>
    </row>
    <row r="281" spans="1:8" ht="18.75" x14ac:dyDescent="0.2">
      <c r="A281" s="3" t="str">
        <f t="shared" si="32"/>
        <v>98/11/26</v>
      </c>
      <c r="B281" s="3" t="str">
        <f t="shared" si="33"/>
        <v>كالاهاي مصرفي</v>
      </c>
      <c r="C281" s="3" t="str">
        <f>"انبار مركزي ( عمومي )"</f>
        <v>انبار مركزي ( عمومي )</v>
      </c>
      <c r="D281" s="3" t="str">
        <f>"0202000503"</f>
        <v>0202000503</v>
      </c>
      <c r="E281" s="3" t="str">
        <f>"آي سي سه پايه L78M24CV"</f>
        <v>آي سي سه پايه L78M24CV</v>
      </c>
      <c r="F281" s="3" t="str">
        <f>"عدد"</f>
        <v>عدد</v>
      </c>
      <c r="G281" s="3">
        <v>10</v>
      </c>
      <c r="H281" s="5">
        <v>600000</v>
      </c>
    </row>
    <row r="282" spans="1:8" ht="18.75" x14ac:dyDescent="0.2">
      <c r="A282" s="3" t="str">
        <f t="shared" si="32"/>
        <v>98/11/26</v>
      </c>
      <c r="B282" s="3" t="str">
        <f t="shared" si="33"/>
        <v>كالاهاي مصرفي</v>
      </c>
      <c r="C282" s="3" t="str">
        <f t="shared" ref="C282:C290" si="36">"انبار مصرفي ZU1"</f>
        <v>انبار مصرفي ZU1</v>
      </c>
      <c r="D282" s="3" t="str">
        <f>"0202000507"</f>
        <v>0202000507</v>
      </c>
      <c r="E282" s="3" t="str">
        <f>"تسمه پروانه SPZ 1350"</f>
        <v>تسمه پروانه SPZ 1350</v>
      </c>
      <c r="F282" s="3" t="str">
        <f>"حلقه"</f>
        <v>حلقه</v>
      </c>
      <c r="G282" s="3">
        <v>2</v>
      </c>
      <c r="H282" s="5">
        <v>600000</v>
      </c>
    </row>
    <row r="283" spans="1:8" ht="18.75" x14ac:dyDescent="0.2">
      <c r="A283" s="3" t="str">
        <f t="shared" si="32"/>
        <v>98/11/26</v>
      </c>
      <c r="B283" s="3" t="str">
        <f t="shared" si="33"/>
        <v>كالاهاي مصرفي</v>
      </c>
      <c r="C283" s="3" t="str">
        <f t="shared" si="36"/>
        <v>انبار مصرفي ZU1</v>
      </c>
      <c r="D283" s="3" t="str">
        <f>"0204000317"</f>
        <v>0204000317</v>
      </c>
      <c r="E283" s="3" t="str">
        <f>"كاسه نمد 7*45*32"</f>
        <v>كاسه نمد 7*45*32</v>
      </c>
      <c r="F283" s="3" t="str">
        <f t="shared" ref="F283:F293" si="37">"عدد"</f>
        <v>عدد</v>
      </c>
      <c r="G283" s="3">
        <v>6</v>
      </c>
      <c r="H283" s="5">
        <v>600000</v>
      </c>
    </row>
    <row r="284" spans="1:8" ht="18.75" x14ac:dyDescent="0.2">
      <c r="A284" s="3" t="str">
        <f t="shared" si="32"/>
        <v>98/11/26</v>
      </c>
      <c r="B284" s="3" t="str">
        <f t="shared" si="33"/>
        <v>كالاهاي مصرفي</v>
      </c>
      <c r="C284" s="3" t="str">
        <f t="shared" si="36"/>
        <v>انبار مصرفي ZU1</v>
      </c>
      <c r="D284" s="3" t="str">
        <f>"0204000876"</f>
        <v>0204000876</v>
      </c>
      <c r="E284" s="3" t="str">
        <f>"خار چشمي DIN471 M16 خارجي"</f>
        <v>خار چشمي DIN471 M16 خارجي</v>
      </c>
      <c r="F284" s="3" t="str">
        <f t="shared" si="37"/>
        <v>عدد</v>
      </c>
      <c r="G284" s="3">
        <v>20</v>
      </c>
      <c r="H284" s="5">
        <v>600000</v>
      </c>
    </row>
    <row r="285" spans="1:8" ht="18.75" x14ac:dyDescent="0.2">
      <c r="A285" s="3" t="str">
        <f t="shared" si="32"/>
        <v>98/11/26</v>
      </c>
      <c r="B285" s="3" t="str">
        <f t="shared" si="33"/>
        <v>كالاهاي مصرفي</v>
      </c>
      <c r="C285" s="3" t="str">
        <f t="shared" si="36"/>
        <v>انبار مصرفي ZU1</v>
      </c>
      <c r="D285" s="3" t="str">
        <f>"0204000902"</f>
        <v>0204000902</v>
      </c>
      <c r="E285" s="3" t="str">
        <f>"خار چشمي DIN471 M39 خارجي"</f>
        <v>خار چشمي DIN471 M39 خارجي</v>
      </c>
      <c r="F285" s="3" t="str">
        <f t="shared" si="37"/>
        <v>عدد</v>
      </c>
      <c r="G285" s="3">
        <v>20</v>
      </c>
      <c r="H285" s="5">
        <v>600000</v>
      </c>
    </row>
    <row r="286" spans="1:8" ht="18.75" x14ac:dyDescent="0.2">
      <c r="A286" s="3" t="str">
        <f t="shared" si="32"/>
        <v>98/11/26</v>
      </c>
      <c r="B286" s="3" t="str">
        <f t="shared" si="33"/>
        <v>كالاهاي مصرفي</v>
      </c>
      <c r="C286" s="3" t="str">
        <f t="shared" si="36"/>
        <v>انبار مصرفي ZU1</v>
      </c>
      <c r="D286" s="3" t="str">
        <f>"0204000940"</f>
        <v>0204000940</v>
      </c>
      <c r="E286" s="3" t="str">
        <f>"خار چشمي DIN471 M8 خارجي"</f>
        <v>خار چشمي DIN471 M8 خارجي</v>
      </c>
      <c r="F286" s="3" t="str">
        <f t="shared" si="37"/>
        <v>عدد</v>
      </c>
      <c r="G286" s="3">
        <v>30</v>
      </c>
      <c r="H286" s="5">
        <v>600000</v>
      </c>
    </row>
    <row r="287" spans="1:8" ht="18.75" x14ac:dyDescent="0.2">
      <c r="A287" s="3" t="str">
        <f t="shared" si="32"/>
        <v>98/11/26</v>
      </c>
      <c r="B287" s="3" t="str">
        <f t="shared" si="33"/>
        <v>كالاهاي مصرفي</v>
      </c>
      <c r="C287" s="3" t="str">
        <f t="shared" si="36"/>
        <v>انبار مصرفي ZU1</v>
      </c>
      <c r="D287" s="3" t="str">
        <f>"0204001094"</f>
        <v>0204001094</v>
      </c>
      <c r="E287" s="3" t="str">
        <f>"کاسه نمد 10*80*48"</f>
        <v>کاسه نمد 10*80*48</v>
      </c>
      <c r="F287" s="3" t="str">
        <f t="shared" si="37"/>
        <v>عدد</v>
      </c>
      <c r="G287" s="3">
        <v>5</v>
      </c>
      <c r="H287" s="5">
        <v>600000</v>
      </c>
    </row>
    <row r="288" spans="1:8" ht="18.75" x14ac:dyDescent="0.2">
      <c r="A288" s="3" t="str">
        <f t="shared" si="32"/>
        <v>98/11/26</v>
      </c>
      <c r="B288" s="3" t="str">
        <f t="shared" si="33"/>
        <v>كالاهاي مصرفي</v>
      </c>
      <c r="C288" s="3" t="str">
        <f t="shared" si="36"/>
        <v>انبار مصرفي ZU1</v>
      </c>
      <c r="D288" s="3" t="str">
        <f>"0204001220"</f>
        <v>0204001220</v>
      </c>
      <c r="E288" s="3" t="str">
        <f>"بيرينگ 51106"</f>
        <v>بيرينگ 51106</v>
      </c>
      <c r="F288" s="3" t="str">
        <f t="shared" si="37"/>
        <v>عدد</v>
      </c>
      <c r="G288" s="3">
        <v>4</v>
      </c>
      <c r="H288" s="5">
        <v>600000</v>
      </c>
    </row>
    <row r="289" spans="1:8" ht="18.75" x14ac:dyDescent="0.2">
      <c r="A289" s="3" t="str">
        <f t="shared" si="32"/>
        <v>98/11/26</v>
      </c>
      <c r="B289" s="3" t="str">
        <f t="shared" si="33"/>
        <v>كالاهاي مصرفي</v>
      </c>
      <c r="C289" s="3" t="str">
        <f t="shared" si="36"/>
        <v>انبار مصرفي ZU1</v>
      </c>
      <c r="D289" s="3" t="str">
        <f>"0204001415"</f>
        <v>0204001415</v>
      </c>
      <c r="E289" s="3" t="str">
        <f>"فيبر وفنر 33mm"</f>
        <v>فيبر وفنر 33mm</v>
      </c>
      <c r="F289" s="3" t="str">
        <f t="shared" si="37"/>
        <v>عدد</v>
      </c>
      <c r="G289" s="3">
        <v>5</v>
      </c>
      <c r="H289" s="5">
        <v>600000</v>
      </c>
    </row>
    <row r="290" spans="1:8" ht="18.75" x14ac:dyDescent="0.2">
      <c r="A290" s="3" t="str">
        <f t="shared" si="32"/>
        <v>98/11/26</v>
      </c>
      <c r="B290" s="3" t="str">
        <f t="shared" si="33"/>
        <v>كالاهاي مصرفي</v>
      </c>
      <c r="C290" s="3" t="str">
        <f t="shared" si="36"/>
        <v>انبار مصرفي ZU1</v>
      </c>
      <c r="D290" s="3" t="str">
        <f>"0204002300"</f>
        <v>0204002300</v>
      </c>
      <c r="E290" s="3" t="str">
        <f>"ضربه گير لاستيكي VC10D002"</f>
        <v>ضربه گير لاستيكي VC10D002</v>
      </c>
      <c r="F290" s="3" t="str">
        <f t="shared" si="37"/>
        <v>عدد</v>
      </c>
      <c r="G290" s="3">
        <v>40</v>
      </c>
      <c r="H290" s="5">
        <v>600000</v>
      </c>
    </row>
    <row r="291" spans="1:8" ht="18.75" x14ac:dyDescent="0.2">
      <c r="A291" s="3" t="str">
        <f t="shared" si="32"/>
        <v>98/11/26</v>
      </c>
      <c r="B291" s="3" t="str">
        <f t="shared" si="33"/>
        <v>كالاهاي مصرفي</v>
      </c>
      <c r="C291" s="3" t="str">
        <f>"انبار مركزي ( عمومي )"</f>
        <v>انبار مركزي ( عمومي )</v>
      </c>
      <c r="D291" s="3" t="str">
        <f>"0206000345"</f>
        <v>0206000345</v>
      </c>
      <c r="E291" s="3" t="str">
        <f>"بوشن پوليكا 2 اينچ"</f>
        <v>بوشن پوليكا 2 اينچ</v>
      </c>
      <c r="F291" s="3" t="str">
        <f t="shared" si="37"/>
        <v>عدد</v>
      </c>
      <c r="G291" s="3">
        <v>20</v>
      </c>
      <c r="H291" s="5">
        <v>600000</v>
      </c>
    </row>
    <row r="292" spans="1:8" ht="18.75" x14ac:dyDescent="0.2">
      <c r="A292" s="3" t="str">
        <f t="shared" si="32"/>
        <v>98/11/26</v>
      </c>
      <c r="B292" s="3" t="str">
        <f t="shared" si="33"/>
        <v>كالاهاي مصرفي</v>
      </c>
      <c r="C292" s="3" t="str">
        <f>"انبار مركزي ( عمومي )"</f>
        <v>انبار مركزي ( عمومي )</v>
      </c>
      <c r="D292" s="3" t="str">
        <f>"0211002244"</f>
        <v>0211002244</v>
      </c>
      <c r="E292" s="3" t="str">
        <f>"طناب استارت موتور"</f>
        <v>طناب استارت موتور</v>
      </c>
      <c r="F292" s="3" t="str">
        <f t="shared" si="37"/>
        <v>عدد</v>
      </c>
      <c r="G292" s="3">
        <v>1</v>
      </c>
      <c r="H292" s="5">
        <v>600000</v>
      </c>
    </row>
    <row r="293" spans="1:8" ht="18.75" x14ac:dyDescent="0.2">
      <c r="A293" s="3" t="str">
        <f t="shared" si="32"/>
        <v>98/11/26</v>
      </c>
      <c r="B293" s="3" t="str">
        <f t="shared" si="33"/>
        <v>كالاهاي مصرفي</v>
      </c>
      <c r="C293" s="3" t="str">
        <f>"انبار مصرفي ZU1"</f>
        <v>انبار مصرفي ZU1</v>
      </c>
      <c r="D293" s="3" t="str">
        <f>"0213001009"</f>
        <v>0213001009</v>
      </c>
      <c r="E293" s="3" t="str">
        <f>"پيچ استنلس استيل  40 * M5"</f>
        <v>پيچ استنلس استيل  40 * M5</v>
      </c>
      <c r="F293" s="3" t="str">
        <f t="shared" si="37"/>
        <v>عدد</v>
      </c>
      <c r="G293" s="3">
        <v>200</v>
      </c>
      <c r="H293" s="5">
        <v>600000</v>
      </c>
    </row>
    <row r="294" spans="1:8" ht="18.75" x14ac:dyDescent="0.2">
      <c r="A294" s="3" t="str">
        <f t="shared" si="32"/>
        <v>98/11/26</v>
      </c>
      <c r="B294" s="3" t="str">
        <f t="shared" si="33"/>
        <v>كالاهاي مصرفي</v>
      </c>
      <c r="C294" s="3" t="str">
        <f>"انبار مركزي ( عمومي )"</f>
        <v>انبار مركزي ( عمومي )</v>
      </c>
      <c r="D294" s="3" t="str">
        <f>"0215000135"</f>
        <v>0215000135</v>
      </c>
      <c r="E294" s="3" t="str">
        <f>"فيلر كوتاه 20 عددي"</f>
        <v>فيلر كوتاه 20 عددي</v>
      </c>
      <c r="F294" s="3" t="str">
        <f>"بسته"</f>
        <v>بسته</v>
      </c>
      <c r="G294" s="3">
        <v>2</v>
      </c>
      <c r="H294" s="5">
        <v>600000</v>
      </c>
    </row>
    <row r="295" spans="1:8" ht="18.75" x14ac:dyDescent="0.2">
      <c r="A295" s="3" t="str">
        <f t="shared" si="32"/>
        <v>98/11/26</v>
      </c>
      <c r="B295" s="3" t="str">
        <f t="shared" si="33"/>
        <v>كالاهاي مصرفي</v>
      </c>
      <c r="C295" s="3" t="str">
        <f t="shared" ref="C295:C303" si="38">"انبار مصرفي ZU1"</f>
        <v>انبار مصرفي ZU1</v>
      </c>
      <c r="D295" s="3" t="str">
        <f>"0203000119"</f>
        <v>0203000119</v>
      </c>
      <c r="E295" s="3" t="str">
        <f>"چكش 1000 گرمي"</f>
        <v>چكش 1000 گرمي</v>
      </c>
      <c r="F295" s="3" t="str">
        <f>"عدد"</f>
        <v>عدد</v>
      </c>
      <c r="G295" s="3">
        <v>2</v>
      </c>
      <c r="H295" s="5">
        <v>604063</v>
      </c>
    </row>
    <row r="296" spans="1:8" ht="18.75" x14ac:dyDescent="0.2">
      <c r="A296" s="3" t="str">
        <f t="shared" si="32"/>
        <v>98/11/26</v>
      </c>
      <c r="B296" s="3" t="str">
        <f t="shared" si="33"/>
        <v>كالاهاي مصرفي</v>
      </c>
      <c r="C296" s="3" t="str">
        <f t="shared" si="38"/>
        <v>انبار مصرفي ZU1</v>
      </c>
      <c r="D296" s="3" t="str">
        <f>"0203000114"</f>
        <v>0203000114</v>
      </c>
      <c r="E296" s="3" t="str">
        <f>"پيچ گوشتي ساعتي"</f>
        <v>پيچ گوشتي ساعتي</v>
      </c>
      <c r="F296" s="3" t="str">
        <f>"دست"</f>
        <v>دست</v>
      </c>
      <c r="G296" s="3">
        <v>1</v>
      </c>
      <c r="H296" s="5">
        <v>607089</v>
      </c>
    </row>
    <row r="297" spans="1:8" ht="18.75" x14ac:dyDescent="0.2">
      <c r="A297" s="3" t="str">
        <f t="shared" si="32"/>
        <v>98/11/26</v>
      </c>
      <c r="B297" s="3" t="str">
        <f t="shared" si="33"/>
        <v>كالاهاي مصرفي</v>
      </c>
      <c r="C297" s="3" t="str">
        <f t="shared" si="38"/>
        <v>انبار مصرفي ZU1</v>
      </c>
      <c r="D297" s="3" t="str">
        <f>"0206000513"</f>
        <v>0206000513</v>
      </c>
      <c r="E297" s="3" t="str">
        <f>"فلنج پلي اتيلن 250 -16 اتمسفر -  پي 100"</f>
        <v>فلنج پلي اتيلن 250 -16 اتمسفر -  پي 100</v>
      </c>
      <c r="F297" s="3" t="str">
        <f t="shared" ref="F297:F305" si="39">"عدد"</f>
        <v>عدد</v>
      </c>
      <c r="G297" s="3">
        <v>1</v>
      </c>
      <c r="H297" s="5">
        <v>610000</v>
      </c>
    </row>
    <row r="298" spans="1:8" ht="18.75" x14ac:dyDescent="0.2">
      <c r="A298" s="3" t="str">
        <f t="shared" si="32"/>
        <v>98/11/26</v>
      </c>
      <c r="B298" s="3" t="str">
        <f t="shared" si="33"/>
        <v>كالاهاي مصرفي</v>
      </c>
      <c r="C298" s="3" t="str">
        <f t="shared" si="38"/>
        <v>انبار مصرفي ZU1</v>
      </c>
      <c r="D298" s="3" t="str">
        <f>"0204000984"</f>
        <v>0204000984</v>
      </c>
      <c r="E298" s="3" t="str">
        <f>"بيرينگ NU306ECJ"</f>
        <v>بيرينگ NU306ECJ</v>
      </c>
      <c r="F298" s="3" t="str">
        <f t="shared" si="39"/>
        <v>عدد</v>
      </c>
      <c r="G298" s="3">
        <v>1</v>
      </c>
      <c r="H298" s="5">
        <v>612000</v>
      </c>
    </row>
    <row r="299" spans="1:8" ht="18.75" x14ac:dyDescent="0.2">
      <c r="A299" s="3" t="str">
        <f t="shared" si="32"/>
        <v>98/11/26</v>
      </c>
      <c r="B299" s="3" t="str">
        <f t="shared" si="33"/>
        <v>كالاهاي مصرفي</v>
      </c>
      <c r="C299" s="3" t="str">
        <f t="shared" si="38"/>
        <v>انبار مصرفي ZU1</v>
      </c>
      <c r="D299" s="3" t="str">
        <f>"0204001614"</f>
        <v>0204001614</v>
      </c>
      <c r="E299" s="3" t="str">
        <f>"كاسه نمد 13*110*90"</f>
        <v>كاسه نمد 13*110*90</v>
      </c>
      <c r="F299" s="3" t="str">
        <f t="shared" si="39"/>
        <v>عدد</v>
      </c>
      <c r="G299" s="3">
        <v>5</v>
      </c>
      <c r="H299" s="5">
        <v>635000</v>
      </c>
    </row>
    <row r="300" spans="1:8" ht="18.75" x14ac:dyDescent="0.2">
      <c r="A300" s="3" t="str">
        <f t="shared" si="32"/>
        <v>98/11/26</v>
      </c>
      <c r="B300" s="3" t="str">
        <f t="shared" si="33"/>
        <v>كالاهاي مصرفي</v>
      </c>
      <c r="C300" s="3" t="str">
        <f t="shared" si="38"/>
        <v>انبار مصرفي ZU1</v>
      </c>
      <c r="D300" s="3" t="str">
        <f>"0204000512"</f>
        <v>0204000512</v>
      </c>
      <c r="E300" s="3" t="str">
        <f>"بيرينگ6306"</f>
        <v>بيرينگ6306</v>
      </c>
      <c r="F300" s="3" t="str">
        <f t="shared" si="39"/>
        <v>عدد</v>
      </c>
      <c r="G300" s="3">
        <v>5</v>
      </c>
      <c r="H300" s="5">
        <v>637500</v>
      </c>
    </row>
    <row r="301" spans="1:8" ht="18.75" x14ac:dyDescent="0.2">
      <c r="A301" s="3" t="str">
        <f t="shared" si="32"/>
        <v>98/11/26</v>
      </c>
      <c r="B301" s="3" t="str">
        <f t="shared" si="33"/>
        <v>كالاهاي مصرفي</v>
      </c>
      <c r="C301" s="3" t="str">
        <f t="shared" si="38"/>
        <v>انبار مصرفي ZU1</v>
      </c>
      <c r="D301" s="3" t="str">
        <f>"0204000866"</f>
        <v>0204000866</v>
      </c>
      <c r="E301" s="3" t="str">
        <f>"کاسه نمد 10*80*58"</f>
        <v>کاسه نمد 10*80*58</v>
      </c>
      <c r="F301" s="3" t="str">
        <f t="shared" si="39"/>
        <v>عدد</v>
      </c>
      <c r="G301" s="3">
        <v>13</v>
      </c>
      <c r="H301" s="5">
        <v>640714</v>
      </c>
    </row>
    <row r="302" spans="1:8" ht="18.75" x14ac:dyDescent="0.2">
      <c r="A302" s="3" t="str">
        <f t="shared" si="32"/>
        <v>98/11/26</v>
      </c>
      <c r="B302" s="3" t="str">
        <f t="shared" si="33"/>
        <v>كالاهاي مصرفي</v>
      </c>
      <c r="C302" s="3" t="str">
        <f t="shared" si="38"/>
        <v>انبار مصرفي ZU1</v>
      </c>
      <c r="D302" s="3" t="str">
        <f>"0204000957"</f>
        <v>0204000957</v>
      </c>
      <c r="E302" s="3" t="str">
        <f>"بيرينگ 2RS/C3-6206"</f>
        <v>بيرينگ 2RS/C3-6206</v>
      </c>
      <c r="F302" s="3" t="str">
        <f t="shared" si="39"/>
        <v>عدد</v>
      </c>
      <c r="G302" s="3">
        <v>1</v>
      </c>
      <c r="H302" s="5">
        <v>650000</v>
      </c>
    </row>
    <row r="303" spans="1:8" ht="18.75" x14ac:dyDescent="0.2">
      <c r="A303" s="3" t="str">
        <f t="shared" si="32"/>
        <v>98/11/26</v>
      </c>
      <c r="B303" s="3" t="str">
        <f t="shared" si="33"/>
        <v>كالاهاي مصرفي</v>
      </c>
      <c r="C303" s="3" t="str">
        <f t="shared" si="38"/>
        <v>انبار مصرفي ZU1</v>
      </c>
      <c r="D303" s="3" t="str">
        <f>"0204002158"</f>
        <v>0204002158</v>
      </c>
      <c r="E303" s="3" t="str">
        <f>"كاسه نمد 7*62*40"</f>
        <v>كاسه نمد 7*62*40</v>
      </c>
      <c r="F303" s="3" t="str">
        <f t="shared" si="39"/>
        <v>عدد</v>
      </c>
      <c r="G303" s="3">
        <v>5</v>
      </c>
      <c r="H303" s="5">
        <v>650000</v>
      </c>
    </row>
    <row r="304" spans="1:8" ht="18.75" x14ac:dyDescent="0.2">
      <c r="A304" s="3" t="str">
        <f t="shared" si="32"/>
        <v>98/11/26</v>
      </c>
      <c r="B304" s="3" t="str">
        <f t="shared" si="33"/>
        <v>كالاهاي مصرفي</v>
      </c>
      <c r="C304" s="3" t="str">
        <f>"انبار مركزي ( عمومي )"</f>
        <v>انبار مركزي ( عمومي )</v>
      </c>
      <c r="D304" s="3" t="str">
        <f>"0903000111"</f>
        <v>0903000111</v>
      </c>
      <c r="E304" s="3" t="str">
        <f>"کابل RS232 ماده به ماده"</f>
        <v>کابل RS232 ماده به ماده</v>
      </c>
      <c r="F304" s="3" t="str">
        <f t="shared" si="39"/>
        <v>عدد</v>
      </c>
      <c r="G304" s="3">
        <v>5</v>
      </c>
      <c r="H304" s="5">
        <v>650000</v>
      </c>
    </row>
    <row r="305" spans="1:8" ht="18.75" x14ac:dyDescent="0.2">
      <c r="A305" s="3" t="str">
        <f t="shared" si="32"/>
        <v>98/11/26</v>
      </c>
      <c r="B305" s="3" t="str">
        <f t="shared" si="33"/>
        <v>كالاهاي مصرفي</v>
      </c>
      <c r="C305" s="3" t="str">
        <f>"انبار مصرفي ZU1"</f>
        <v>انبار مصرفي ZU1</v>
      </c>
      <c r="D305" s="3" t="str">
        <f>"0101000025"</f>
        <v>0101000025</v>
      </c>
      <c r="E305" s="3" t="str">
        <f>"برس سيمي دستي معمولي"</f>
        <v>برس سيمي دستي معمولي</v>
      </c>
      <c r="F305" s="3" t="str">
        <f t="shared" si="39"/>
        <v>عدد</v>
      </c>
      <c r="G305" s="3">
        <v>33</v>
      </c>
      <c r="H305" s="5">
        <v>654778</v>
      </c>
    </row>
    <row r="306" spans="1:8" ht="18.75" x14ac:dyDescent="0.2">
      <c r="A306" s="3" t="str">
        <f t="shared" si="32"/>
        <v>98/11/26</v>
      </c>
      <c r="B306" s="3" t="str">
        <f t="shared" si="33"/>
        <v>كالاهاي مصرفي</v>
      </c>
      <c r="C306" s="3" t="str">
        <f>"انبار مصرفي ZU1"</f>
        <v>انبار مصرفي ZU1</v>
      </c>
      <c r="D306" s="3" t="str">
        <f>"0204002142"</f>
        <v>0204002142</v>
      </c>
      <c r="E306" s="3" t="str">
        <f>"تسمه پروانه SPA (UA-1800"</f>
        <v>تسمه پروانه SPA (UA-1800</v>
      </c>
      <c r="F306" s="3" t="str">
        <f>"حلقه"</f>
        <v>حلقه</v>
      </c>
      <c r="G306" s="3">
        <v>2</v>
      </c>
      <c r="H306" s="5">
        <v>660000</v>
      </c>
    </row>
    <row r="307" spans="1:8" ht="18.75" x14ac:dyDescent="0.2">
      <c r="A307" s="3" t="str">
        <f t="shared" si="32"/>
        <v>98/11/26</v>
      </c>
      <c r="B307" s="3" t="str">
        <f t="shared" si="33"/>
        <v>كالاهاي مصرفي</v>
      </c>
      <c r="C307" s="3" t="str">
        <f>"انبار مركزي ( عمومي )"</f>
        <v>انبار مركزي ( عمومي )</v>
      </c>
      <c r="D307" s="3" t="str">
        <f>"0213000571"</f>
        <v>0213000571</v>
      </c>
      <c r="E307" s="3" t="str">
        <f>"پوسابP2000 معمولي"</f>
        <v>پوسابP2000 معمولي</v>
      </c>
      <c r="F307" s="3" t="str">
        <f>"برگ"</f>
        <v>برگ</v>
      </c>
      <c r="G307" s="3">
        <v>25</v>
      </c>
      <c r="H307" s="5">
        <v>662500</v>
      </c>
    </row>
    <row r="308" spans="1:8" ht="18.75" x14ac:dyDescent="0.2">
      <c r="A308" s="3" t="str">
        <f t="shared" si="32"/>
        <v>98/11/26</v>
      </c>
      <c r="B308" s="3" t="str">
        <f t="shared" si="33"/>
        <v>كالاهاي مصرفي</v>
      </c>
      <c r="C308" s="3" t="str">
        <f>"انبار مصرفي ZU1"</f>
        <v>انبار مصرفي ZU1</v>
      </c>
      <c r="D308" s="3" t="str">
        <f>"0213000378"</f>
        <v>0213000378</v>
      </c>
      <c r="E308" s="3" t="str">
        <f>"پيچ يك سر رزوه كربن استيل M10*25"</f>
        <v>پيچ يك سر رزوه كربن استيل M10*25</v>
      </c>
      <c r="F308" s="3" t="str">
        <f t="shared" ref="F308:F323" si="40">"عدد"</f>
        <v>عدد</v>
      </c>
      <c r="G308" s="3">
        <v>154</v>
      </c>
      <c r="H308" s="5">
        <v>666452</v>
      </c>
    </row>
    <row r="309" spans="1:8" ht="18.75" x14ac:dyDescent="0.2">
      <c r="A309" s="3" t="str">
        <f t="shared" si="32"/>
        <v>98/11/26</v>
      </c>
      <c r="B309" s="3" t="str">
        <f t="shared" si="33"/>
        <v>كالاهاي مصرفي</v>
      </c>
      <c r="C309" s="3" t="str">
        <f>"انبار مركزي ( عمومي )"</f>
        <v>انبار مركزي ( عمومي )</v>
      </c>
      <c r="D309" s="3" t="str">
        <f>"0206000343"</f>
        <v>0206000343</v>
      </c>
      <c r="E309" s="3" t="str">
        <f>"زانو گالوانيزه 2 اينچ 45 درجه"</f>
        <v>زانو گالوانيزه 2 اينچ 45 درجه</v>
      </c>
      <c r="F309" s="3" t="str">
        <f t="shared" si="40"/>
        <v>عدد</v>
      </c>
      <c r="G309" s="3">
        <v>10</v>
      </c>
      <c r="H309" s="5">
        <v>675000</v>
      </c>
    </row>
    <row r="310" spans="1:8" ht="18.75" x14ac:dyDescent="0.2">
      <c r="A310" s="3" t="str">
        <f t="shared" si="32"/>
        <v>98/11/26</v>
      </c>
      <c r="B310" s="3" t="str">
        <f t="shared" si="33"/>
        <v>كالاهاي مصرفي</v>
      </c>
      <c r="C310" s="3" t="str">
        <f t="shared" ref="C310:C315" si="41">"انبار مصرفي ZU1"</f>
        <v>انبار مصرفي ZU1</v>
      </c>
      <c r="D310" s="3" t="str">
        <f>"0204000553"</f>
        <v>0204000553</v>
      </c>
      <c r="E310" s="3" t="str">
        <f>"کاسه نمد 5*52*40"</f>
        <v>کاسه نمد 5*52*40</v>
      </c>
      <c r="F310" s="3" t="str">
        <f t="shared" si="40"/>
        <v>عدد</v>
      </c>
      <c r="G310" s="3">
        <v>8</v>
      </c>
      <c r="H310" s="5">
        <v>680000</v>
      </c>
    </row>
    <row r="311" spans="1:8" ht="18.75" x14ac:dyDescent="0.2">
      <c r="A311" s="3" t="str">
        <f t="shared" si="32"/>
        <v>98/11/26</v>
      </c>
      <c r="B311" s="3" t="str">
        <f t="shared" si="33"/>
        <v>كالاهاي مصرفي</v>
      </c>
      <c r="C311" s="3" t="str">
        <f t="shared" si="41"/>
        <v>انبار مصرفي ZU1</v>
      </c>
      <c r="D311" s="3" t="str">
        <f>"0204001264"</f>
        <v>0204001264</v>
      </c>
      <c r="E311" s="3" t="str">
        <f>"قفل کن بيرينگ KM11"</f>
        <v>قفل کن بيرينگ KM11</v>
      </c>
      <c r="F311" s="3" t="str">
        <f t="shared" si="40"/>
        <v>عدد</v>
      </c>
      <c r="G311" s="3">
        <v>8</v>
      </c>
      <c r="H311" s="5">
        <v>680000</v>
      </c>
    </row>
    <row r="312" spans="1:8" ht="18.75" x14ac:dyDescent="0.2">
      <c r="A312" s="3" t="str">
        <f t="shared" si="32"/>
        <v>98/11/26</v>
      </c>
      <c r="B312" s="3" t="str">
        <f t="shared" si="33"/>
        <v>كالاهاي مصرفي</v>
      </c>
      <c r="C312" s="3" t="str">
        <f t="shared" si="41"/>
        <v>انبار مصرفي ZU1</v>
      </c>
      <c r="D312" s="3" t="str">
        <f>"0206000519"</f>
        <v>0206000519</v>
      </c>
      <c r="E312" s="3" t="str">
        <f>"زانو پلي اتيلن 45*125- 16 بار- پي 100"</f>
        <v>زانو پلي اتيلن 45*125- 16 بار- پي 100</v>
      </c>
      <c r="F312" s="3" t="str">
        <f t="shared" si="40"/>
        <v>عدد</v>
      </c>
      <c r="G312" s="3">
        <v>1</v>
      </c>
      <c r="H312" s="5">
        <v>683895</v>
      </c>
    </row>
    <row r="313" spans="1:8" ht="18.75" x14ac:dyDescent="0.2">
      <c r="A313" s="3" t="str">
        <f t="shared" si="32"/>
        <v>98/11/26</v>
      </c>
      <c r="B313" s="3" t="str">
        <f t="shared" si="33"/>
        <v>كالاهاي مصرفي</v>
      </c>
      <c r="C313" s="3" t="str">
        <f t="shared" si="41"/>
        <v>انبار مصرفي ZU1</v>
      </c>
      <c r="D313" s="3" t="str">
        <f>"0213000393"</f>
        <v>0213000393</v>
      </c>
      <c r="E313" s="3" t="str">
        <f>"پيچ يك سر رزوه استنلس استيل M12*45"</f>
        <v>پيچ يك سر رزوه استنلس استيل M12*45</v>
      </c>
      <c r="F313" s="3" t="str">
        <f t="shared" si="40"/>
        <v>عدد</v>
      </c>
      <c r="G313" s="3">
        <v>37</v>
      </c>
      <c r="H313" s="5">
        <v>688200</v>
      </c>
    </row>
    <row r="314" spans="1:8" ht="18.75" x14ac:dyDescent="0.2">
      <c r="A314" s="3" t="str">
        <f t="shared" si="32"/>
        <v>98/11/26</v>
      </c>
      <c r="B314" s="3" t="str">
        <f t="shared" si="33"/>
        <v>كالاهاي مصرفي</v>
      </c>
      <c r="C314" s="3" t="str">
        <f t="shared" si="41"/>
        <v>انبار مصرفي ZU1</v>
      </c>
      <c r="D314" s="3" t="str">
        <f>"0213000177"</f>
        <v>0213000177</v>
      </c>
      <c r="E314" s="3" t="str">
        <f>"مهره M8"</f>
        <v>مهره M8</v>
      </c>
      <c r="F314" s="3" t="str">
        <f t="shared" si="40"/>
        <v>عدد</v>
      </c>
      <c r="G314" s="3">
        <v>952</v>
      </c>
      <c r="H314" s="5">
        <v>689097</v>
      </c>
    </row>
    <row r="315" spans="1:8" ht="18.75" x14ac:dyDescent="0.2">
      <c r="A315" s="3" t="str">
        <f t="shared" si="32"/>
        <v>98/11/26</v>
      </c>
      <c r="B315" s="3" t="str">
        <f t="shared" si="33"/>
        <v>كالاهاي مصرفي</v>
      </c>
      <c r="C315" s="3" t="str">
        <f t="shared" si="41"/>
        <v>انبار مصرفي ZU1</v>
      </c>
      <c r="D315" s="3" t="str">
        <f>"0204000778"</f>
        <v>0204000778</v>
      </c>
      <c r="E315" s="3" t="str">
        <f>"كاسه نمد 7 * 40 * 24"</f>
        <v>كاسه نمد 7 * 40 * 24</v>
      </c>
      <c r="F315" s="3" t="str">
        <f t="shared" si="40"/>
        <v>عدد</v>
      </c>
      <c r="G315" s="3">
        <v>5</v>
      </c>
      <c r="H315" s="5">
        <v>690000</v>
      </c>
    </row>
    <row r="316" spans="1:8" ht="18.75" x14ac:dyDescent="0.2">
      <c r="A316" s="3" t="str">
        <f t="shared" si="32"/>
        <v>98/11/26</v>
      </c>
      <c r="B316" s="3" t="str">
        <f t="shared" si="33"/>
        <v>كالاهاي مصرفي</v>
      </c>
      <c r="C316" s="3" t="str">
        <f>"انبار مركزي ( عمومي )"</f>
        <v>انبار مركزي ( عمومي )</v>
      </c>
      <c r="D316" s="3" t="str">
        <f>"0906000402"</f>
        <v>0906000402</v>
      </c>
      <c r="E316" s="3" t="str">
        <f>"افزاينده فيش 3.5 ميليمتر مادگي به مادگي"</f>
        <v>افزاينده فيش 3.5 ميليمتر مادگي به مادگي</v>
      </c>
      <c r="F316" s="3" t="str">
        <f t="shared" si="40"/>
        <v>عدد</v>
      </c>
      <c r="G316" s="3">
        <v>3</v>
      </c>
      <c r="H316" s="5">
        <v>690000</v>
      </c>
    </row>
    <row r="317" spans="1:8" ht="18.75" x14ac:dyDescent="0.2">
      <c r="A317" s="3" t="str">
        <f t="shared" si="32"/>
        <v>98/11/26</v>
      </c>
      <c r="B317" s="3" t="str">
        <f t="shared" si="33"/>
        <v>كالاهاي مصرفي</v>
      </c>
      <c r="C317" s="3" t="str">
        <f>"انبار مصرفي ZU1"</f>
        <v>انبار مصرفي ZU1</v>
      </c>
      <c r="D317" s="3" t="str">
        <f>"0203000126"</f>
        <v>0203000126</v>
      </c>
      <c r="E317" s="3" t="str">
        <f>"پيچ گوشتي عايق دار"</f>
        <v>پيچ گوشتي عايق دار</v>
      </c>
      <c r="F317" s="3" t="str">
        <f t="shared" si="40"/>
        <v>عدد</v>
      </c>
      <c r="G317" s="3">
        <v>6</v>
      </c>
      <c r="H317" s="5">
        <v>690588</v>
      </c>
    </row>
    <row r="318" spans="1:8" ht="18.75" x14ac:dyDescent="0.2">
      <c r="A318" s="3" t="str">
        <f t="shared" si="32"/>
        <v>98/11/26</v>
      </c>
      <c r="B318" s="3" t="str">
        <f t="shared" si="33"/>
        <v>كالاهاي مصرفي</v>
      </c>
      <c r="C318" s="3" t="str">
        <f>"انبار مصرفي ZU1"</f>
        <v>انبار مصرفي ZU1</v>
      </c>
      <c r="D318" s="3" t="str">
        <f>"0213000418"</f>
        <v>0213000418</v>
      </c>
      <c r="E318" s="3" t="str">
        <f>"پيچ يك سر رزوه كربن استيل M24*75"</f>
        <v>پيچ يك سر رزوه كربن استيل M24*75</v>
      </c>
      <c r="F318" s="3" t="str">
        <f t="shared" si="40"/>
        <v>عدد</v>
      </c>
      <c r="G318" s="3">
        <v>20</v>
      </c>
      <c r="H318" s="5">
        <v>691540</v>
      </c>
    </row>
    <row r="319" spans="1:8" ht="18.75" x14ac:dyDescent="0.2">
      <c r="A319" s="3" t="str">
        <f t="shared" si="32"/>
        <v>98/11/26</v>
      </c>
      <c r="B319" s="3" t="str">
        <f t="shared" si="33"/>
        <v>كالاهاي مصرفي</v>
      </c>
      <c r="C319" s="3" t="str">
        <f>"انبار مصرفي ZU1"</f>
        <v>انبار مصرفي ZU1</v>
      </c>
      <c r="D319" s="3" t="str">
        <f>"0206000118"</f>
        <v>0206000118</v>
      </c>
      <c r="E319" s="3" t="str">
        <f>"بست شيلنگي 1 اينچ"</f>
        <v>بست شيلنگي 1 اينچ</v>
      </c>
      <c r="F319" s="3" t="str">
        <f t="shared" si="40"/>
        <v>عدد</v>
      </c>
      <c r="G319" s="3">
        <v>10</v>
      </c>
      <c r="H319" s="5">
        <v>695613</v>
      </c>
    </row>
    <row r="320" spans="1:8" ht="18.75" x14ac:dyDescent="0.2">
      <c r="A320" s="3" t="str">
        <f t="shared" si="32"/>
        <v>98/11/26</v>
      </c>
      <c r="B320" s="3" t="str">
        <f t="shared" si="33"/>
        <v>كالاهاي مصرفي</v>
      </c>
      <c r="C320" s="3" t="str">
        <f>"انبار مصرفي ZU1"</f>
        <v>انبار مصرفي ZU1</v>
      </c>
      <c r="D320" s="3" t="str">
        <f>"0213000098"</f>
        <v>0213000098</v>
      </c>
      <c r="E320" s="3" t="str">
        <f>"پيچ كربن استيل M16*150"</f>
        <v>پيچ كربن استيل M16*150</v>
      </c>
      <c r="F320" s="3" t="str">
        <f t="shared" si="40"/>
        <v>عدد</v>
      </c>
      <c r="G320" s="3">
        <v>18</v>
      </c>
      <c r="H320" s="5">
        <v>696600</v>
      </c>
    </row>
    <row r="321" spans="1:8" ht="18.75" x14ac:dyDescent="0.2">
      <c r="A321" s="3" t="str">
        <f t="shared" si="32"/>
        <v>98/11/26</v>
      </c>
      <c r="B321" s="3" t="str">
        <f t="shared" si="33"/>
        <v>كالاهاي مصرفي</v>
      </c>
      <c r="C321" s="3" t="str">
        <f>"انبار مركزي ( عمومي )"</f>
        <v>انبار مركزي ( عمومي )</v>
      </c>
      <c r="D321" s="3" t="str">
        <f>"0202000459"</f>
        <v>0202000459</v>
      </c>
      <c r="E321" s="3" t="str">
        <f>"قيچي كابل بري ساده"</f>
        <v>قيچي كابل بري ساده</v>
      </c>
      <c r="F321" s="3" t="str">
        <f t="shared" si="40"/>
        <v>عدد</v>
      </c>
      <c r="G321" s="3">
        <v>1</v>
      </c>
      <c r="H321" s="5">
        <v>700000</v>
      </c>
    </row>
    <row r="322" spans="1:8" ht="18.75" x14ac:dyDescent="0.2">
      <c r="A322" s="3" t="str">
        <f t="shared" ref="A322:A385" si="42">"98/11/26"</f>
        <v>98/11/26</v>
      </c>
      <c r="B322" s="3" t="str">
        <f t="shared" ref="B322:B385" si="43">"كالاهاي مصرفي"</f>
        <v>كالاهاي مصرفي</v>
      </c>
      <c r="C322" s="3" t="str">
        <f t="shared" ref="C322:C327" si="44">"انبار مصرفي ZU1"</f>
        <v>انبار مصرفي ZU1</v>
      </c>
      <c r="D322" s="3" t="str">
        <f>"0204000583"</f>
        <v>0204000583</v>
      </c>
      <c r="E322" s="3" t="str">
        <f>"بوش بيرينگ H 308"</f>
        <v>بوش بيرينگ H 308</v>
      </c>
      <c r="F322" s="3" t="str">
        <f t="shared" si="40"/>
        <v>عدد</v>
      </c>
      <c r="G322" s="3">
        <v>2</v>
      </c>
      <c r="H322" s="5">
        <v>700000</v>
      </c>
    </row>
    <row r="323" spans="1:8" ht="18.75" x14ac:dyDescent="0.2">
      <c r="A323" s="3" t="str">
        <f t="shared" si="42"/>
        <v>98/11/26</v>
      </c>
      <c r="B323" s="3" t="str">
        <f t="shared" si="43"/>
        <v>كالاهاي مصرفي</v>
      </c>
      <c r="C323" s="3" t="str">
        <f t="shared" si="44"/>
        <v>انبار مصرفي ZU1</v>
      </c>
      <c r="D323" s="3" t="str">
        <f>"0204000981"</f>
        <v>0204000981</v>
      </c>
      <c r="E323" s="3" t="str">
        <f>"بيرينگ 6303"</f>
        <v>بيرينگ 6303</v>
      </c>
      <c r="F323" s="3" t="str">
        <f t="shared" si="40"/>
        <v>عدد</v>
      </c>
      <c r="G323" s="3">
        <v>2</v>
      </c>
      <c r="H323" s="5">
        <v>700000</v>
      </c>
    </row>
    <row r="324" spans="1:8" ht="18.75" x14ac:dyDescent="0.2">
      <c r="A324" s="3" t="str">
        <f t="shared" si="42"/>
        <v>98/11/26</v>
      </c>
      <c r="B324" s="3" t="str">
        <f t="shared" si="43"/>
        <v>كالاهاي مصرفي</v>
      </c>
      <c r="C324" s="3" t="str">
        <f t="shared" si="44"/>
        <v>انبار مصرفي ZU1</v>
      </c>
      <c r="D324" s="3" t="str">
        <f>"0204001431"</f>
        <v>0204001431</v>
      </c>
      <c r="E324" s="3" t="str">
        <f>"واشر پريشمان ضخامت 0/1  ميليمتر"</f>
        <v>واشر پريشمان ضخامت 0/1  ميليمتر</v>
      </c>
      <c r="F324" s="3" t="str">
        <f>"ورق"</f>
        <v>ورق</v>
      </c>
      <c r="G324" s="3">
        <v>2</v>
      </c>
      <c r="H324" s="5">
        <v>700000</v>
      </c>
    </row>
    <row r="325" spans="1:8" ht="18.75" x14ac:dyDescent="0.2">
      <c r="A325" s="3" t="str">
        <f t="shared" si="42"/>
        <v>98/11/26</v>
      </c>
      <c r="B325" s="3" t="str">
        <f t="shared" si="43"/>
        <v>كالاهاي مصرفي</v>
      </c>
      <c r="C325" s="3" t="str">
        <f t="shared" si="44"/>
        <v>انبار مصرفي ZU1</v>
      </c>
      <c r="D325" s="3" t="str">
        <f>"0204001555"</f>
        <v>0204001555</v>
      </c>
      <c r="E325" s="3" t="str">
        <f>"اورينگ NBR ضخامت 4.5"</f>
        <v>اورينگ NBR ضخامت 4.5</v>
      </c>
      <c r="F325" s="3" t="str">
        <f>"متر"</f>
        <v>متر</v>
      </c>
      <c r="G325" s="3">
        <v>20</v>
      </c>
      <c r="H325" s="5">
        <v>700000</v>
      </c>
    </row>
    <row r="326" spans="1:8" ht="18.75" x14ac:dyDescent="0.2">
      <c r="A326" s="3" t="str">
        <f t="shared" si="42"/>
        <v>98/11/26</v>
      </c>
      <c r="B326" s="3" t="str">
        <f t="shared" si="43"/>
        <v>كالاهاي مصرفي</v>
      </c>
      <c r="C326" s="3" t="str">
        <f t="shared" si="44"/>
        <v>انبار مصرفي ZU1</v>
      </c>
      <c r="D326" s="3" t="str">
        <f>"0204001616"</f>
        <v>0204001616</v>
      </c>
      <c r="E326" s="3" t="str">
        <f>"بيرينگ 6305 2RS"</f>
        <v>بيرينگ 6305 2RS</v>
      </c>
      <c r="F326" s="3" t="str">
        <f>"عدد"</f>
        <v>عدد</v>
      </c>
      <c r="G326" s="3">
        <v>1</v>
      </c>
      <c r="H326" s="5">
        <v>700000</v>
      </c>
    </row>
    <row r="327" spans="1:8" ht="18.75" x14ac:dyDescent="0.2">
      <c r="A327" s="3" t="str">
        <f t="shared" si="42"/>
        <v>98/11/26</v>
      </c>
      <c r="B327" s="3" t="str">
        <f t="shared" si="43"/>
        <v>كالاهاي مصرفي</v>
      </c>
      <c r="C327" s="3" t="str">
        <f t="shared" si="44"/>
        <v>انبار مصرفي ZU1</v>
      </c>
      <c r="D327" s="3" t="str">
        <f>"0204001827"</f>
        <v>0204001827</v>
      </c>
      <c r="E327" s="3" t="str">
        <f>"کاسه نمد 13*135*90"</f>
        <v>کاسه نمد 13*135*90</v>
      </c>
      <c r="F327" s="3" t="str">
        <f>"عدد"</f>
        <v>عدد</v>
      </c>
      <c r="G327" s="3">
        <v>5</v>
      </c>
      <c r="H327" s="5">
        <v>700000</v>
      </c>
    </row>
    <row r="328" spans="1:8" ht="18.75" x14ac:dyDescent="0.2">
      <c r="A328" s="3" t="str">
        <f t="shared" si="42"/>
        <v>98/11/26</v>
      </c>
      <c r="B328" s="3" t="str">
        <f t="shared" si="43"/>
        <v>كالاهاي مصرفي</v>
      </c>
      <c r="C328" s="3" t="str">
        <f>"انبار مركزي ( عمومي )"</f>
        <v>انبار مركزي ( عمومي )</v>
      </c>
      <c r="D328" s="3" t="str">
        <f>"0211000326"</f>
        <v>0211000326</v>
      </c>
      <c r="E328" s="3" t="str">
        <f>"طناب پلاستيكي نمره 12"</f>
        <v>طناب پلاستيكي نمره 12</v>
      </c>
      <c r="F328" s="3" t="str">
        <f>"متر"</f>
        <v>متر</v>
      </c>
      <c r="G328" s="3">
        <v>20</v>
      </c>
      <c r="H328" s="5">
        <v>700000</v>
      </c>
    </row>
    <row r="329" spans="1:8" ht="18.75" x14ac:dyDescent="0.2">
      <c r="A329" s="3" t="str">
        <f t="shared" si="42"/>
        <v>98/11/26</v>
      </c>
      <c r="B329" s="3" t="str">
        <f t="shared" si="43"/>
        <v>كالاهاي مصرفي</v>
      </c>
      <c r="C329" s="3" t="str">
        <f>"انبار مركزي ( عمومي )"</f>
        <v>انبار مركزي ( عمومي )</v>
      </c>
      <c r="D329" s="3" t="str">
        <f>"0211000846"</f>
        <v>0211000846</v>
      </c>
      <c r="E329" s="3" t="str">
        <f>"باطري ساعتي 3 ولت"</f>
        <v>باطري ساعتي 3 ولت</v>
      </c>
      <c r="F329" s="3" t="str">
        <f t="shared" ref="F329:F337" si="45">"عدد"</f>
        <v>عدد</v>
      </c>
      <c r="G329" s="3">
        <v>11</v>
      </c>
      <c r="H329" s="5">
        <v>704000</v>
      </c>
    </row>
    <row r="330" spans="1:8" ht="18.75" x14ac:dyDescent="0.2">
      <c r="A330" s="3" t="str">
        <f t="shared" si="42"/>
        <v>98/11/26</v>
      </c>
      <c r="B330" s="3" t="str">
        <f t="shared" si="43"/>
        <v>كالاهاي مصرفي</v>
      </c>
      <c r="C330" s="3" t="str">
        <f>"انبار مصرفي ZU1"</f>
        <v>انبار مصرفي ZU1</v>
      </c>
      <c r="D330" s="3" t="str">
        <f>"0204000905"</f>
        <v>0204000905</v>
      </c>
      <c r="E330" s="3" t="str">
        <f>"خار چشمي DIN472 M40 داخلي"</f>
        <v>خار چشمي DIN472 M40 داخلي</v>
      </c>
      <c r="F330" s="3" t="str">
        <f t="shared" si="45"/>
        <v>عدد</v>
      </c>
      <c r="G330" s="3">
        <v>40</v>
      </c>
      <c r="H330" s="5">
        <v>708400</v>
      </c>
    </row>
    <row r="331" spans="1:8" ht="18.75" x14ac:dyDescent="0.2">
      <c r="A331" s="3" t="str">
        <f t="shared" si="42"/>
        <v>98/11/26</v>
      </c>
      <c r="B331" s="3" t="str">
        <f t="shared" si="43"/>
        <v>كالاهاي مصرفي</v>
      </c>
      <c r="C331" s="3" t="str">
        <f>"انبار مصرفي ZU1"</f>
        <v>انبار مصرفي ZU1</v>
      </c>
      <c r="D331" s="3" t="str">
        <f>"0203000044"</f>
        <v>0203000044</v>
      </c>
      <c r="E331" s="3" t="str">
        <f>"چكش 300 گرمي"</f>
        <v>چكش 300 گرمي</v>
      </c>
      <c r="F331" s="3" t="str">
        <f t="shared" si="45"/>
        <v>عدد</v>
      </c>
      <c r="G331" s="3">
        <v>3</v>
      </c>
      <c r="H331" s="5">
        <v>720000</v>
      </c>
    </row>
    <row r="332" spans="1:8" ht="18.75" x14ac:dyDescent="0.2">
      <c r="A332" s="3" t="str">
        <f t="shared" si="42"/>
        <v>98/11/26</v>
      </c>
      <c r="B332" s="3" t="str">
        <f t="shared" si="43"/>
        <v>كالاهاي مصرفي</v>
      </c>
      <c r="C332" s="3" t="str">
        <f>"انبار مركزي ( عمومي )"</f>
        <v>انبار مركزي ( عمومي )</v>
      </c>
      <c r="D332" s="3" t="str">
        <f>"0203000102"</f>
        <v>0203000102</v>
      </c>
      <c r="E332" s="3" t="str">
        <f>"بكس سري 1/2 نمره 13"</f>
        <v>بكس سري 1/2 نمره 13</v>
      </c>
      <c r="F332" s="3" t="str">
        <f t="shared" si="45"/>
        <v>عدد</v>
      </c>
      <c r="G332" s="3">
        <v>4</v>
      </c>
      <c r="H332" s="5">
        <v>720000</v>
      </c>
    </row>
    <row r="333" spans="1:8" ht="18.75" x14ac:dyDescent="0.2">
      <c r="A333" s="3" t="str">
        <f t="shared" si="42"/>
        <v>98/11/26</v>
      </c>
      <c r="B333" s="3" t="str">
        <f t="shared" si="43"/>
        <v>كالاهاي مصرفي</v>
      </c>
      <c r="C333" s="3" t="str">
        <f>"انبار مركزي ( عمومي )"</f>
        <v>انبار مركزي ( عمومي )</v>
      </c>
      <c r="D333" s="3" t="str">
        <f>"0206000919"</f>
        <v>0206000919</v>
      </c>
      <c r="E333" s="3" t="str">
        <f>"زانو پوليكا 2 اينچ 45درجه"</f>
        <v>زانو پوليكا 2 اينچ 45درجه</v>
      </c>
      <c r="F333" s="3" t="str">
        <f t="shared" si="45"/>
        <v>عدد</v>
      </c>
      <c r="G333" s="3">
        <v>18</v>
      </c>
      <c r="H333" s="5">
        <v>720000</v>
      </c>
    </row>
    <row r="334" spans="1:8" ht="18.75" x14ac:dyDescent="0.2">
      <c r="A334" s="3" t="str">
        <f t="shared" si="42"/>
        <v>98/11/26</v>
      </c>
      <c r="B334" s="3" t="str">
        <f t="shared" si="43"/>
        <v>كالاهاي مصرفي</v>
      </c>
      <c r="C334" s="3" t="str">
        <f>"انبار مركزي ( عمومي )"</f>
        <v>انبار مركزي ( عمومي )</v>
      </c>
      <c r="D334" s="3" t="str">
        <f>"0213000603"</f>
        <v>0213000603</v>
      </c>
      <c r="E334" s="3" t="str">
        <f>"پيچ نوك مته اي 2.5 سانتي"</f>
        <v>پيچ نوك مته اي 2.5 سانتي</v>
      </c>
      <c r="F334" s="3" t="str">
        <f t="shared" si="45"/>
        <v>عدد</v>
      </c>
      <c r="G334" s="3">
        <v>600</v>
      </c>
      <c r="H334" s="5">
        <v>720000</v>
      </c>
    </row>
    <row r="335" spans="1:8" ht="18.75" x14ac:dyDescent="0.2">
      <c r="A335" s="3" t="str">
        <f t="shared" si="42"/>
        <v>98/11/26</v>
      </c>
      <c r="B335" s="3" t="str">
        <f t="shared" si="43"/>
        <v>كالاهاي مصرفي</v>
      </c>
      <c r="C335" s="3" t="str">
        <f>"انبار مصرفي ZU1"</f>
        <v>انبار مصرفي ZU1</v>
      </c>
      <c r="D335" s="3" t="str">
        <f>"0213000929"</f>
        <v>0213000929</v>
      </c>
      <c r="E335" s="3" t="str">
        <f>"پين 40* 6"</f>
        <v>پين 40* 6</v>
      </c>
      <c r="F335" s="3" t="str">
        <f t="shared" si="45"/>
        <v>عدد</v>
      </c>
      <c r="G335" s="3">
        <v>90</v>
      </c>
      <c r="H335" s="5">
        <v>738000</v>
      </c>
    </row>
    <row r="336" spans="1:8" ht="18.75" x14ac:dyDescent="0.2">
      <c r="A336" s="3" t="str">
        <f t="shared" si="42"/>
        <v>98/11/26</v>
      </c>
      <c r="B336" s="3" t="str">
        <f t="shared" si="43"/>
        <v>كالاهاي مصرفي</v>
      </c>
      <c r="C336" s="3" t="str">
        <f>"انبار مركزي ( عمومي )"</f>
        <v>انبار مركزي ( عمومي )</v>
      </c>
      <c r="D336" s="3" t="str">
        <f>"0213000306"</f>
        <v>0213000306</v>
      </c>
      <c r="E336" s="3" t="str">
        <f>"كلنگ"</f>
        <v>كلنگ</v>
      </c>
      <c r="F336" s="3" t="str">
        <f t="shared" si="45"/>
        <v>عدد</v>
      </c>
      <c r="G336" s="3">
        <v>4</v>
      </c>
      <c r="H336" s="5">
        <v>740000</v>
      </c>
    </row>
    <row r="337" spans="1:8" ht="18.75" x14ac:dyDescent="0.2">
      <c r="A337" s="3" t="str">
        <f t="shared" si="42"/>
        <v>98/11/26</v>
      </c>
      <c r="B337" s="3" t="str">
        <f t="shared" si="43"/>
        <v>كالاهاي مصرفي</v>
      </c>
      <c r="C337" s="3" t="str">
        <f>"انبار مصرفي ZU1"</f>
        <v>انبار مصرفي ZU1</v>
      </c>
      <c r="D337" s="3" t="str">
        <f>"0101000063"</f>
        <v>0101000063</v>
      </c>
      <c r="E337" s="3" t="str">
        <f>"برس رنگ 2.1/2 اينچ"</f>
        <v>برس رنگ 2.1/2 اينچ</v>
      </c>
      <c r="F337" s="3" t="str">
        <f t="shared" si="45"/>
        <v>عدد</v>
      </c>
      <c r="G337" s="3">
        <v>13</v>
      </c>
      <c r="H337" s="5">
        <v>747159</v>
      </c>
    </row>
    <row r="338" spans="1:8" ht="18.75" x14ac:dyDescent="0.2">
      <c r="A338" s="3" t="str">
        <f t="shared" si="42"/>
        <v>98/11/26</v>
      </c>
      <c r="B338" s="3" t="str">
        <f t="shared" si="43"/>
        <v>كالاهاي مصرفي</v>
      </c>
      <c r="C338" s="3" t="str">
        <f>"انبار مصرفي ZU1"</f>
        <v>انبار مصرفي ZU1</v>
      </c>
      <c r="D338" s="3" t="str">
        <f>"0204001022"</f>
        <v>0204001022</v>
      </c>
      <c r="E338" s="3" t="str">
        <f>"تسمه پروانه SPA 1180"</f>
        <v>تسمه پروانه SPA 1180</v>
      </c>
      <c r="F338" s="3" t="str">
        <f>"حلقه"</f>
        <v>حلقه</v>
      </c>
      <c r="G338" s="3">
        <v>4</v>
      </c>
      <c r="H338" s="5">
        <v>752000</v>
      </c>
    </row>
    <row r="339" spans="1:8" ht="18.75" x14ac:dyDescent="0.2">
      <c r="A339" s="3" t="str">
        <f t="shared" si="42"/>
        <v>98/11/26</v>
      </c>
      <c r="B339" s="3" t="str">
        <f t="shared" si="43"/>
        <v>كالاهاي مصرفي</v>
      </c>
      <c r="C339" s="3" t="str">
        <f>"انبار مركزي ( عمومي )"</f>
        <v>انبار مركزي ( عمومي )</v>
      </c>
      <c r="D339" s="3" t="str">
        <f>"0213001020"</f>
        <v>0213001020</v>
      </c>
      <c r="E339" s="3" t="str">
        <f>"تسمه حمل بار 2متري 3 تن"</f>
        <v>تسمه حمل بار 2متري 3 تن</v>
      </c>
      <c r="F339" s="3" t="str">
        <f>"عدد"</f>
        <v>عدد</v>
      </c>
      <c r="G339" s="3">
        <v>2</v>
      </c>
      <c r="H339" s="5">
        <v>760000</v>
      </c>
    </row>
    <row r="340" spans="1:8" ht="18.75" x14ac:dyDescent="0.2">
      <c r="A340" s="3" t="str">
        <f t="shared" si="42"/>
        <v>98/11/26</v>
      </c>
      <c r="B340" s="3" t="str">
        <f t="shared" si="43"/>
        <v>كالاهاي مصرفي</v>
      </c>
      <c r="C340" s="3" t="str">
        <f>"انبار مركزي ( عمومي )"</f>
        <v>انبار مركزي ( عمومي )</v>
      </c>
      <c r="D340" s="3" t="str">
        <f>"0101000022"</f>
        <v>0101000022</v>
      </c>
      <c r="E340" s="3" t="str">
        <f>"برس رنگ 4 اينچ"</f>
        <v>برس رنگ 4 اينچ</v>
      </c>
      <c r="F340" s="3" t="str">
        <f>"عدد"</f>
        <v>عدد</v>
      </c>
      <c r="G340" s="3">
        <v>8</v>
      </c>
      <c r="H340" s="5">
        <v>760706</v>
      </c>
    </row>
    <row r="341" spans="1:8" ht="18.75" x14ac:dyDescent="0.2">
      <c r="A341" s="3" t="str">
        <f t="shared" si="42"/>
        <v>98/11/26</v>
      </c>
      <c r="B341" s="3" t="str">
        <f t="shared" si="43"/>
        <v>كالاهاي مصرفي</v>
      </c>
      <c r="C341" s="3" t="str">
        <f>"انبار مركزي ( عمومي )"</f>
        <v>انبار مركزي ( عمومي )</v>
      </c>
      <c r="D341" s="3" t="str">
        <f>"0211000954"</f>
        <v>0211000954</v>
      </c>
      <c r="E341" s="3" t="str">
        <f>"جود (سر نخ )"</f>
        <v>جود (سر نخ )</v>
      </c>
      <c r="F341" s="3" t="str">
        <f>"کيلوگرم"</f>
        <v>کيلوگرم</v>
      </c>
      <c r="G341" s="3">
        <v>5.5</v>
      </c>
      <c r="H341" s="5">
        <v>770072</v>
      </c>
    </row>
    <row r="342" spans="1:8" ht="18.75" x14ac:dyDescent="0.2">
      <c r="A342" s="3" t="str">
        <f t="shared" si="42"/>
        <v>98/11/26</v>
      </c>
      <c r="B342" s="3" t="str">
        <f t="shared" si="43"/>
        <v>كالاهاي مصرفي</v>
      </c>
      <c r="C342" s="3" t="str">
        <f>"انبار مركزي ( عمومي )"</f>
        <v>انبار مركزي ( عمومي )</v>
      </c>
      <c r="D342" s="3" t="str">
        <f>"0213000795"</f>
        <v>0213000795</v>
      </c>
      <c r="E342" s="3" t="str">
        <f>"پوساب P2500 معمولي"</f>
        <v>پوساب P2500 معمولي</v>
      </c>
      <c r="F342" s="3" t="str">
        <f>"برگ"</f>
        <v>برگ</v>
      </c>
      <c r="G342" s="3">
        <v>22</v>
      </c>
      <c r="H342" s="5">
        <v>770873</v>
      </c>
    </row>
    <row r="343" spans="1:8" ht="18.75" x14ac:dyDescent="0.2">
      <c r="A343" s="3" t="str">
        <f t="shared" si="42"/>
        <v>98/11/26</v>
      </c>
      <c r="B343" s="3" t="str">
        <f t="shared" si="43"/>
        <v>كالاهاي مصرفي</v>
      </c>
      <c r="C343" s="3" t="str">
        <f>"انبار مركزي ( عمومي )"</f>
        <v>انبار مركزي ( عمومي )</v>
      </c>
      <c r="D343" s="3" t="str">
        <f>"0206000118"</f>
        <v>0206000118</v>
      </c>
      <c r="E343" s="3" t="str">
        <f>"بست شيلنگي 1 اينچ"</f>
        <v>بست شيلنگي 1 اينچ</v>
      </c>
      <c r="F343" s="3" t="str">
        <f>"عدد"</f>
        <v>عدد</v>
      </c>
      <c r="G343" s="3">
        <v>16</v>
      </c>
      <c r="H343" s="5">
        <v>771179</v>
      </c>
    </row>
    <row r="344" spans="1:8" ht="18.75" x14ac:dyDescent="0.2">
      <c r="A344" s="3" t="str">
        <f t="shared" si="42"/>
        <v>98/11/26</v>
      </c>
      <c r="B344" s="3" t="str">
        <f t="shared" si="43"/>
        <v>كالاهاي مصرفي</v>
      </c>
      <c r="C344" s="3" t="str">
        <f>"انبار مصرفي ZU1"</f>
        <v>انبار مصرفي ZU1</v>
      </c>
      <c r="D344" s="3" t="str">
        <f>"0213000792"</f>
        <v>0213000792</v>
      </c>
      <c r="E344" s="3" t="str">
        <f>"ميخ 2 سانتي"</f>
        <v>ميخ 2 سانتي</v>
      </c>
      <c r="F344" s="3" t="str">
        <f>"کيلوگرم"</f>
        <v>کيلوگرم</v>
      </c>
      <c r="G344" s="3">
        <v>12</v>
      </c>
      <c r="H344" s="5">
        <v>780000</v>
      </c>
    </row>
    <row r="345" spans="1:8" ht="18.75" x14ac:dyDescent="0.2">
      <c r="A345" s="3" t="str">
        <f t="shared" si="42"/>
        <v>98/11/26</v>
      </c>
      <c r="B345" s="3" t="str">
        <f t="shared" si="43"/>
        <v>كالاهاي مصرفي</v>
      </c>
      <c r="C345" s="3" t="str">
        <f>"انبار مركزي ( عمومي )"</f>
        <v>انبار مركزي ( عمومي )</v>
      </c>
      <c r="D345" s="3" t="str">
        <f>"0213000649"</f>
        <v>0213000649</v>
      </c>
      <c r="E345" s="3" t="str">
        <f>"سيم بكسل"</f>
        <v>سيم بكسل</v>
      </c>
      <c r="F345" s="3" t="str">
        <f>"متر"</f>
        <v>متر</v>
      </c>
      <c r="G345" s="3">
        <v>4</v>
      </c>
      <c r="H345" s="5">
        <v>780645</v>
      </c>
    </row>
    <row r="346" spans="1:8" ht="18.75" x14ac:dyDescent="0.2">
      <c r="A346" s="3" t="str">
        <f t="shared" si="42"/>
        <v>98/11/26</v>
      </c>
      <c r="B346" s="3" t="str">
        <f t="shared" si="43"/>
        <v>كالاهاي مصرفي</v>
      </c>
      <c r="C346" s="3" t="str">
        <f>"انبار مصرفي ZU1"</f>
        <v>انبار مصرفي ZU1</v>
      </c>
      <c r="D346" s="3" t="str">
        <f>"0105000003"</f>
        <v>0105000003</v>
      </c>
      <c r="E346" s="3" t="str">
        <f>"چسب قطره اي"</f>
        <v>چسب قطره اي</v>
      </c>
      <c r="F346" s="3" t="str">
        <f>"عدد"</f>
        <v>عدد</v>
      </c>
      <c r="G346" s="3">
        <v>24</v>
      </c>
      <c r="H346" s="5">
        <v>784000</v>
      </c>
    </row>
    <row r="347" spans="1:8" ht="18.75" x14ac:dyDescent="0.2">
      <c r="A347" s="3" t="str">
        <f t="shared" si="42"/>
        <v>98/11/26</v>
      </c>
      <c r="B347" s="3" t="str">
        <f t="shared" si="43"/>
        <v>كالاهاي مصرفي</v>
      </c>
      <c r="C347" s="3" t="str">
        <f>"انبار مركزي ( عمومي )"</f>
        <v>انبار مركزي ( عمومي )</v>
      </c>
      <c r="D347" s="3" t="str">
        <f>"0203000117"</f>
        <v>0203000117</v>
      </c>
      <c r="E347" s="3" t="str">
        <f>"چكش   200 گرمي"</f>
        <v>چكش   200 گرمي</v>
      </c>
      <c r="F347" s="3" t="str">
        <f>"عدد"</f>
        <v>عدد</v>
      </c>
      <c r="G347" s="3">
        <v>9</v>
      </c>
      <c r="H347" s="5">
        <v>787500</v>
      </c>
    </row>
    <row r="348" spans="1:8" ht="18.75" x14ac:dyDescent="0.2">
      <c r="A348" s="3" t="str">
        <f t="shared" si="42"/>
        <v>98/11/26</v>
      </c>
      <c r="B348" s="3" t="str">
        <f t="shared" si="43"/>
        <v>كالاهاي مصرفي</v>
      </c>
      <c r="C348" s="3" t="str">
        <f>"انبار مركزي ( عمومي )"</f>
        <v>انبار مركزي ( عمومي )</v>
      </c>
      <c r="D348" s="3" t="str">
        <f>"0203000099"</f>
        <v>0203000099</v>
      </c>
      <c r="E348" s="3" t="str">
        <f>"بكس سري 1/2 نمره 10"</f>
        <v>بكس سري 1/2 نمره 10</v>
      </c>
      <c r="F348" s="3" t="str">
        <f>"عدد"</f>
        <v>عدد</v>
      </c>
      <c r="G348" s="3">
        <v>5</v>
      </c>
      <c r="H348" s="5">
        <v>790277</v>
      </c>
    </row>
    <row r="349" spans="1:8" ht="18.75" x14ac:dyDescent="0.2">
      <c r="A349" s="3" t="str">
        <f t="shared" si="42"/>
        <v>98/11/26</v>
      </c>
      <c r="B349" s="3" t="str">
        <f t="shared" si="43"/>
        <v>كالاهاي مصرفي</v>
      </c>
      <c r="C349" s="3" t="str">
        <f>"انبار مركزي ( عمومي )"</f>
        <v>انبار مركزي ( عمومي )</v>
      </c>
      <c r="D349" s="3" t="str">
        <f>"0601000072"</f>
        <v>0601000072</v>
      </c>
      <c r="E349" s="3" t="str">
        <f>"كفش عايق برق 1000 ولت"</f>
        <v>كفش عايق برق 1000 ولت</v>
      </c>
      <c r="F349" s="3" t="str">
        <f>"جفت"</f>
        <v>جفت</v>
      </c>
      <c r="G349" s="3">
        <v>3</v>
      </c>
      <c r="H349" s="5">
        <v>795000</v>
      </c>
    </row>
    <row r="350" spans="1:8" ht="18.75" x14ac:dyDescent="0.2">
      <c r="A350" s="3" t="str">
        <f t="shared" si="42"/>
        <v>98/11/26</v>
      </c>
      <c r="B350" s="3" t="str">
        <f t="shared" si="43"/>
        <v>كالاهاي مصرفي</v>
      </c>
      <c r="C350" s="3" t="str">
        <f>"انبار مصرفي ZU1"</f>
        <v>انبار مصرفي ZU1</v>
      </c>
      <c r="D350" s="3" t="str">
        <f>"0204000357"</f>
        <v>0204000357</v>
      </c>
      <c r="E350" s="3" t="str">
        <f>"واشر اورينگ رزيني 3.5*(2-)109"</f>
        <v>واشر اورينگ رزيني 3.5*(2-)109</v>
      </c>
      <c r="F350" s="3" t="str">
        <f t="shared" ref="F350:F361" si="46">"عدد"</f>
        <v>عدد</v>
      </c>
      <c r="G350" s="3">
        <v>20</v>
      </c>
      <c r="H350" s="5">
        <v>800000</v>
      </c>
    </row>
    <row r="351" spans="1:8" ht="18.75" x14ac:dyDescent="0.2">
      <c r="A351" s="3" t="str">
        <f t="shared" si="42"/>
        <v>98/11/26</v>
      </c>
      <c r="B351" s="3" t="str">
        <f t="shared" si="43"/>
        <v>كالاهاي مصرفي</v>
      </c>
      <c r="C351" s="3" t="str">
        <f>"انبار مصرفي ZU1"</f>
        <v>انبار مصرفي ZU1</v>
      </c>
      <c r="D351" s="3" t="str">
        <f>"0204001569"</f>
        <v>0204001569</v>
      </c>
      <c r="E351" s="3" t="str">
        <f>"كاسه نمد 7*35*20"</f>
        <v>كاسه نمد 7*35*20</v>
      </c>
      <c r="F351" s="3" t="str">
        <f t="shared" si="46"/>
        <v>عدد</v>
      </c>
      <c r="G351" s="3">
        <v>10</v>
      </c>
      <c r="H351" s="5">
        <v>800000</v>
      </c>
    </row>
    <row r="352" spans="1:8" ht="18.75" x14ac:dyDescent="0.2">
      <c r="A352" s="3" t="str">
        <f t="shared" si="42"/>
        <v>98/11/26</v>
      </c>
      <c r="B352" s="3" t="str">
        <f t="shared" si="43"/>
        <v>كالاهاي مصرفي</v>
      </c>
      <c r="C352" s="3" t="str">
        <f>"انبار مصرفي ZU1"</f>
        <v>انبار مصرفي ZU1</v>
      </c>
      <c r="D352" s="3" t="str">
        <f>"0204002190"</f>
        <v>0204002190</v>
      </c>
      <c r="E352" s="3" t="str">
        <f>"کاسه نمد 6*26*16"</f>
        <v>کاسه نمد 6*26*16</v>
      </c>
      <c r="F352" s="3" t="str">
        <f t="shared" si="46"/>
        <v>عدد</v>
      </c>
      <c r="G352" s="3">
        <v>10</v>
      </c>
      <c r="H352" s="5">
        <v>800000</v>
      </c>
    </row>
    <row r="353" spans="1:8" ht="18.75" x14ac:dyDescent="0.2">
      <c r="A353" s="3" t="str">
        <f t="shared" si="42"/>
        <v>98/11/26</v>
      </c>
      <c r="B353" s="3" t="str">
        <f t="shared" si="43"/>
        <v>كالاهاي مصرفي</v>
      </c>
      <c r="C353" s="3" t="str">
        <f>"انبار مركزي ( عمومي )"</f>
        <v>انبار مركزي ( عمومي )</v>
      </c>
      <c r="D353" s="3" t="str">
        <f>"0206000699"</f>
        <v>0206000699</v>
      </c>
      <c r="E353" s="3" t="str">
        <f>"زانو يكسر دنده سبز 1/2 اينچ"</f>
        <v>زانو يكسر دنده سبز 1/2 اينچ</v>
      </c>
      <c r="F353" s="3" t="str">
        <f t="shared" si="46"/>
        <v>عدد</v>
      </c>
      <c r="G353" s="3">
        <v>20</v>
      </c>
      <c r="H353" s="5">
        <v>800000</v>
      </c>
    </row>
    <row r="354" spans="1:8" ht="18.75" x14ac:dyDescent="0.2">
      <c r="A354" s="3" t="str">
        <f t="shared" si="42"/>
        <v>98/11/26</v>
      </c>
      <c r="B354" s="3" t="str">
        <f t="shared" si="43"/>
        <v>كالاهاي مصرفي</v>
      </c>
      <c r="C354" s="3" t="str">
        <f>"انبار مركزي ( عمومي )"</f>
        <v>انبار مركزي ( عمومي )</v>
      </c>
      <c r="D354" s="3" t="str">
        <f>"0906000156"</f>
        <v>0906000156</v>
      </c>
      <c r="E354" s="3" t="str">
        <f>"بلانك پنل 1 يونيت"</f>
        <v>بلانك پنل 1 يونيت</v>
      </c>
      <c r="F354" s="3" t="str">
        <f t="shared" si="46"/>
        <v>عدد</v>
      </c>
      <c r="G354" s="3">
        <v>4</v>
      </c>
      <c r="H354" s="5">
        <v>800000</v>
      </c>
    </row>
    <row r="355" spans="1:8" ht="18.75" x14ac:dyDescent="0.2">
      <c r="A355" s="3" t="str">
        <f t="shared" si="42"/>
        <v>98/11/26</v>
      </c>
      <c r="B355" s="3" t="str">
        <f t="shared" si="43"/>
        <v>كالاهاي مصرفي</v>
      </c>
      <c r="C355" s="3" t="str">
        <f t="shared" ref="C355:C363" si="47">"انبار مصرفي ZU1"</f>
        <v>انبار مصرفي ZU1</v>
      </c>
      <c r="D355" s="3" t="str">
        <f>"0213000168"</f>
        <v>0213000168</v>
      </c>
      <c r="E355" s="3" t="str">
        <f>"واشر تخت M28"</f>
        <v>واشر تخت M28</v>
      </c>
      <c r="F355" s="3" t="str">
        <f t="shared" si="46"/>
        <v>عدد</v>
      </c>
      <c r="G355" s="3">
        <v>214</v>
      </c>
      <c r="H355" s="5">
        <v>802500</v>
      </c>
    </row>
    <row r="356" spans="1:8" ht="18.75" x14ac:dyDescent="0.2">
      <c r="A356" s="3" t="str">
        <f t="shared" si="42"/>
        <v>98/11/26</v>
      </c>
      <c r="B356" s="3" t="str">
        <f t="shared" si="43"/>
        <v>كالاهاي مصرفي</v>
      </c>
      <c r="C356" s="3" t="str">
        <f t="shared" si="47"/>
        <v>انبار مصرفي ZU1</v>
      </c>
      <c r="D356" s="3" t="str">
        <f>"0211000409"</f>
        <v>0211000409</v>
      </c>
      <c r="E356" s="3" t="str">
        <f>"لامپ رشته اي 60 وات"</f>
        <v>لامپ رشته اي 60 وات</v>
      </c>
      <c r="F356" s="3" t="str">
        <f t="shared" si="46"/>
        <v>عدد</v>
      </c>
      <c r="G356" s="3">
        <v>40</v>
      </c>
      <c r="H356" s="5">
        <v>803846</v>
      </c>
    </row>
    <row r="357" spans="1:8" ht="18.75" x14ac:dyDescent="0.2">
      <c r="A357" s="3" t="str">
        <f t="shared" si="42"/>
        <v>98/11/26</v>
      </c>
      <c r="B357" s="3" t="str">
        <f t="shared" si="43"/>
        <v>كالاهاي مصرفي</v>
      </c>
      <c r="C357" s="3" t="str">
        <f t="shared" si="47"/>
        <v>انبار مصرفي ZU1</v>
      </c>
      <c r="D357" s="3" t="str">
        <f>"0204000290"</f>
        <v>0204000290</v>
      </c>
      <c r="E357" s="3" t="str">
        <f>"كاسه نمد10*29*50"</f>
        <v>كاسه نمد10*29*50</v>
      </c>
      <c r="F357" s="3" t="str">
        <f t="shared" si="46"/>
        <v>عدد</v>
      </c>
      <c r="G357" s="3">
        <v>5</v>
      </c>
      <c r="H357" s="5">
        <v>805000</v>
      </c>
    </row>
    <row r="358" spans="1:8" ht="18.75" x14ac:dyDescent="0.2">
      <c r="A358" s="3" t="str">
        <f t="shared" si="42"/>
        <v>98/11/26</v>
      </c>
      <c r="B358" s="3" t="str">
        <f t="shared" si="43"/>
        <v>كالاهاي مصرفي</v>
      </c>
      <c r="C358" s="3" t="str">
        <f t="shared" si="47"/>
        <v>انبار مصرفي ZU1</v>
      </c>
      <c r="D358" s="3" t="str">
        <f>"0204000307"</f>
        <v>0204000307</v>
      </c>
      <c r="E358" s="3" t="str">
        <f>"كاسه نمد 15*150*120"</f>
        <v>كاسه نمد 15*150*120</v>
      </c>
      <c r="F358" s="3" t="str">
        <f t="shared" si="46"/>
        <v>عدد</v>
      </c>
      <c r="G358" s="3">
        <v>1</v>
      </c>
      <c r="H358" s="5">
        <v>807500</v>
      </c>
    </row>
    <row r="359" spans="1:8" ht="18.75" x14ac:dyDescent="0.2">
      <c r="A359" s="3" t="str">
        <f t="shared" si="42"/>
        <v>98/11/26</v>
      </c>
      <c r="B359" s="3" t="str">
        <f t="shared" si="43"/>
        <v>كالاهاي مصرفي</v>
      </c>
      <c r="C359" s="3" t="str">
        <f t="shared" si="47"/>
        <v>انبار مصرفي ZU1</v>
      </c>
      <c r="D359" s="3" t="str">
        <f>"0213000430"</f>
        <v>0213000430</v>
      </c>
      <c r="E359" s="3" t="str">
        <f>"پيچ گوشواره اي M8*6"</f>
        <v>پيچ گوشواره اي M8*6</v>
      </c>
      <c r="F359" s="3" t="str">
        <f t="shared" si="46"/>
        <v>عدد</v>
      </c>
      <c r="G359" s="3">
        <v>74</v>
      </c>
      <c r="H359" s="5">
        <v>809419</v>
      </c>
    </row>
    <row r="360" spans="1:8" ht="18.75" x14ac:dyDescent="0.2">
      <c r="A360" s="3" t="str">
        <f t="shared" si="42"/>
        <v>98/11/26</v>
      </c>
      <c r="B360" s="3" t="str">
        <f t="shared" si="43"/>
        <v>كالاهاي مصرفي</v>
      </c>
      <c r="C360" s="3" t="str">
        <f t="shared" si="47"/>
        <v>انبار مصرفي ZU1</v>
      </c>
      <c r="D360" s="3" t="str">
        <f>"0213000599"</f>
        <v>0213000599</v>
      </c>
      <c r="E360" s="3" t="str">
        <f>"قيف روغن"</f>
        <v>قيف روغن</v>
      </c>
      <c r="F360" s="3" t="str">
        <f t="shared" si="46"/>
        <v>عدد</v>
      </c>
      <c r="G360" s="3">
        <v>3</v>
      </c>
      <c r="H360" s="5">
        <v>814138</v>
      </c>
    </row>
    <row r="361" spans="1:8" ht="18.75" x14ac:dyDescent="0.2">
      <c r="A361" s="3" t="str">
        <f t="shared" si="42"/>
        <v>98/11/26</v>
      </c>
      <c r="B361" s="3" t="str">
        <f t="shared" si="43"/>
        <v>كالاهاي مصرفي</v>
      </c>
      <c r="C361" s="3" t="str">
        <f t="shared" si="47"/>
        <v>انبار مصرفي ZU1</v>
      </c>
      <c r="D361" s="3" t="str">
        <f>"0204000285"</f>
        <v>0204000285</v>
      </c>
      <c r="E361" s="3" t="str">
        <f>"كاسه نمد 8 *40 * 62"</f>
        <v>كاسه نمد 8 *40 * 62</v>
      </c>
      <c r="F361" s="3" t="str">
        <f t="shared" si="46"/>
        <v>عدد</v>
      </c>
      <c r="G361" s="3">
        <v>7</v>
      </c>
      <c r="H361" s="5">
        <v>817185</v>
      </c>
    </row>
    <row r="362" spans="1:8" ht="18.75" x14ac:dyDescent="0.2">
      <c r="A362" s="3" t="str">
        <f t="shared" si="42"/>
        <v>98/11/26</v>
      </c>
      <c r="B362" s="3" t="str">
        <f t="shared" si="43"/>
        <v>كالاهاي مصرفي</v>
      </c>
      <c r="C362" s="3" t="str">
        <f t="shared" si="47"/>
        <v>انبار مصرفي ZU1</v>
      </c>
      <c r="D362" s="3" t="str">
        <f>"0213000358"</f>
        <v>0213000358</v>
      </c>
      <c r="E362" s="3" t="str">
        <f>"پيچ دو سر رزوه استنلس استيل M8"</f>
        <v>پيچ دو سر رزوه استنلس استيل M8</v>
      </c>
      <c r="F362" s="3" t="str">
        <f>"متر"</f>
        <v>متر</v>
      </c>
      <c r="G362" s="3">
        <v>9</v>
      </c>
      <c r="H362" s="5">
        <v>819000</v>
      </c>
    </row>
    <row r="363" spans="1:8" ht="18.75" x14ac:dyDescent="0.2">
      <c r="A363" s="3" t="str">
        <f t="shared" si="42"/>
        <v>98/11/26</v>
      </c>
      <c r="B363" s="3" t="str">
        <f t="shared" si="43"/>
        <v>كالاهاي مصرفي</v>
      </c>
      <c r="C363" s="3" t="str">
        <f t="shared" si="47"/>
        <v>انبار مصرفي ZU1</v>
      </c>
      <c r="D363" s="3" t="str">
        <f>"0213000471"</f>
        <v>0213000471</v>
      </c>
      <c r="E363" s="3" t="str">
        <f>"مهره برنجي M24"</f>
        <v>مهره برنجي M24</v>
      </c>
      <c r="F363" s="3" t="str">
        <f>"عدد"</f>
        <v>عدد</v>
      </c>
      <c r="G363" s="3">
        <v>20</v>
      </c>
      <c r="H363" s="5">
        <v>819800</v>
      </c>
    </row>
    <row r="364" spans="1:8" ht="18.75" x14ac:dyDescent="0.2">
      <c r="A364" s="3" t="str">
        <f t="shared" si="42"/>
        <v>98/11/26</v>
      </c>
      <c r="B364" s="3" t="str">
        <f t="shared" si="43"/>
        <v>كالاهاي مصرفي</v>
      </c>
      <c r="C364" s="3" t="str">
        <f>"انبار مركزي ( عمومي )"</f>
        <v>انبار مركزي ( عمومي )</v>
      </c>
      <c r="D364" s="3" t="str">
        <f>"0203000142"</f>
        <v>0203000142</v>
      </c>
      <c r="E364" s="3" t="str">
        <f>"مته آهن نمره 2"</f>
        <v>مته آهن نمره 2</v>
      </c>
      <c r="F364" s="3" t="str">
        <f>"عدد"</f>
        <v>عدد</v>
      </c>
      <c r="G364" s="3">
        <v>34</v>
      </c>
      <c r="H364" s="5">
        <v>819885</v>
      </c>
    </row>
    <row r="365" spans="1:8" ht="18.75" x14ac:dyDescent="0.2">
      <c r="A365" s="3" t="str">
        <f t="shared" si="42"/>
        <v>98/11/26</v>
      </c>
      <c r="B365" s="3" t="str">
        <f t="shared" si="43"/>
        <v>كالاهاي مصرفي</v>
      </c>
      <c r="C365" s="3" t="str">
        <f>"انبار مركزي ( عمومي )"</f>
        <v>انبار مركزي ( عمومي )</v>
      </c>
      <c r="D365" s="3" t="str">
        <f>"0213000632"</f>
        <v>0213000632</v>
      </c>
      <c r="E365" s="3" t="str">
        <f>"كاردك"</f>
        <v>كاردك</v>
      </c>
      <c r="F365" s="3" t="str">
        <f>"عدد"</f>
        <v>عدد</v>
      </c>
      <c r="G365" s="3">
        <v>25</v>
      </c>
      <c r="H365" s="5">
        <v>820000</v>
      </c>
    </row>
    <row r="366" spans="1:8" ht="18.75" x14ac:dyDescent="0.2">
      <c r="A366" s="3" t="str">
        <f t="shared" si="42"/>
        <v>98/11/26</v>
      </c>
      <c r="B366" s="3" t="str">
        <f t="shared" si="43"/>
        <v>كالاهاي مصرفي</v>
      </c>
      <c r="C366" s="3" t="str">
        <f>"انبار مصرفي ZU1"</f>
        <v>انبار مصرفي ZU1</v>
      </c>
      <c r="D366" s="3" t="str">
        <f>"0203000024"</f>
        <v>0203000024</v>
      </c>
      <c r="E366" s="3" t="str">
        <f>"پيچ گوشتي ترمينالي عايقي چهارسو"</f>
        <v>پيچ گوشتي ترمينالي عايقي چهارسو</v>
      </c>
      <c r="F366" s="3" t="str">
        <f>"عدد"</f>
        <v>عدد</v>
      </c>
      <c r="G366" s="3">
        <v>7</v>
      </c>
      <c r="H366" s="5">
        <v>827160</v>
      </c>
    </row>
    <row r="367" spans="1:8" ht="18.75" x14ac:dyDescent="0.2">
      <c r="A367" s="3" t="str">
        <f t="shared" si="42"/>
        <v>98/11/26</v>
      </c>
      <c r="B367" s="3" t="str">
        <f t="shared" si="43"/>
        <v>كالاهاي مصرفي</v>
      </c>
      <c r="C367" s="3" t="str">
        <f>"انبار مصرفي ZU1"</f>
        <v>انبار مصرفي ZU1</v>
      </c>
      <c r="D367" s="3" t="str">
        <f>"0213000685"</f>
        <v>0213000685</v>
      </c>
      <c r="E367" s="3" t="str">
        <f>"ميخ 5 سانتي"</f>
        <v>ميخ 5 سانتي</v>
      </c>
      <c r="F367" s="3" t="str">
        <f>"کيلوگرم"</f>
        <v>کيلوگرم</v>
      </c>
      <c r="G367" s="3">
        <v>13</v>
      </c>
      <c r="H367" s="5">
        <v>831357</v>
      </c>
    </row>
    <row r="368" spans="1:8" ht="18.75" x14ac:dyDescent="0.2">
      <c r="A368" s="3" t="str">
        <f t="shared" si="42"/>
        <v>98/11/26</v>
      </c>
      <c r="B368" s="3" t="str">
        <f t="shared" si="43"/>
        <v>كالاهاي مصرفي</v>
      </c>
      <c r="C368" s="3" t="str">
        <f>"انبار مصرفي ZU1"</f>
        <v>انبار مصرفي ZU1</v>
      </c>
      <c r="D368" s="3" t="str">
        <f>"0204000883"</f>
        <v>0204000883</v>
      </c>
      <c r="E368" s="3" t="str">
        <f>"خار چشمي DIN472 M22 داخلي"</f>
        <v>خار چشمي DIN472 M22 داخلي</v>
      </c>
      <c r="F368" s="3" t="str">
        <f t="shared" ref="F368:F376" si="48">"عدد"</f>
        <v>عدد</v>
      </c>
      <c r="G368" s="3">
        <v>40</v>
      </c>
      <c r="H368" s="5">
        <v>832400</v>
      </c>
    </row>
    <row r="369" spans="1:8" ht="18.75" x14ac:dyDescent="0.2">
      <c r="A369" s="3" t="str">
        <f t="shared" si="42"/>
        <v>98/11/26</v>
      </c>
      <c r="B369" s="3" t="str">
        <f t="shared" si="43"/>
        <v>كالاهاي مصرفي</v>
      </c>
      <c r="C369" s="3" t="str">
        <f>"انبار مصرفي ZU1"</f>
        <v>انبار مصرفي ZU1</v>
      </c>
      <c r="D369" s="3" t="str">
        <f>"0213000200"</f>
        <v>0213000200</v>
      </c>
      <c r="E369" s="3" t="str">
        <f>"واشر مسي M32"</f>
        <v>واشر مسي M32</v>
      </c>
      <c r="F369" s="3" t="str">
        <f t="shared" si="48"/>
        <v>عدد</v>
      </c>
      <c r="G369" s="3">
        <v>80</v>
      </c>
      <c r="H369" s="5">
        <v>835200</v>
      </c>
    </row>
    <row r="370" spans="1:8" ht="18.75" x14ac:dyDescent="0.2">
      <c r="A370" s="3" t="str">
        <f t="shared" si="42"/>
        <v>98/11/26</v>
      </c>
      <c r="B370" s="3" t="str">
        <f t="shared" si="43"/>
        <v>كالاهاي مصرفي</v>
      </c>
      <c r="C370" s="3" t="str">
        <f>"انبار مركزي ( عمومي )"</f>
        <v>انبار مركزي ( عمومي )</v>
      </c>
      <c r="D370" s="3" t="str">
        <f>"0203000239"</f>
        <v>0203000239</v>
      </c>
      <c r="E370" s="3" t="str">
        <f>"مته الماسه چهار شياره نمره  9"</f>
        <v>مته الماسه چهار شياره نمره  9</v>
      </c>
      <c r="F370" s="3" t="str">
        <f t="shared" si="48"/>
        <v>عدد</v>
      </c>
      <c r="G370" s="3">
        <v>4</v>
      </c>
      <c r="H370" s="5">
        <v>836920</v>
      </c>
    </row>
    <row r="371" spans="1:8" ht="18.75" x14ac:dyDescent="0.2">
      <c r="A371" s="3" t="str">
        <f t="shared" si="42"/>
        <v>98/11/26</v>
      </c>
      <c r="B371" s="3" t="str">
        <f t="shared" si="43"/>
        <v>كالاهاي مصرفي</v>
      </c>
      <c r="C371" s="3" t="str">
        <f>"انبار مصرفي ZU1"</f>
        <v>انبار مصرفي ZU1</v>
      </c>
      <c r="D371" s="3" t="str">
        <f>"0204001108"</f>
        <v>0204001108</v>
      </c>
      <c r="E371" s="3" t="str">
        <f>"بيرينگ 32208A"</f>
        <v>بيرينگ 32208A</v>
      </c>
      <c r="F371" s="3" t="str">
        <f t="shared" si="48"/>
        <v>عدد</v>
      </c>
      <c r="G371" s="3">
        <v>2</v>
      </c>
      <c r="H371" s="5">
        <v>840000</v>
      </c>
    </row>
    <row r="372" spans="1:8" ht="18.75" x14ac:dyDescent="0.2">
      <c r="A372" s="3" t="str">
        <f t="shared" si="42"/>
        <v>98/11/26</v>
      </c>
      <c r="B372" s="3" t="str">
        <f t="shared" si="43"/>
        <v>كالاهاي مصرفي</v>
      </c>
      <c r="C372" s="3" t="str">
        <f>"انبار مصرفي ZU1"</f>
        <v>انبار مصرفي ZU1</v>
      </c>
      <c r="D372" s="3" t="str">
        <f>"0211000047"</f>
        <v>0211000047</v>
      </c>
      <c r="E372" s="3" t="str">
        <f>"تشت فلزي ( استامبولي )"</f>
        <v>تشت فلزي ( استامبولي )</v>
      </c>
      <c r="F372" s="3" t="str">
        <f t="shared" si="48"/>
        <v>عدد</v>
      </c>
      <c r="G372" s="3">
        <v>7</v>
      </c>
      <c r="H372" s="5">
        <v>840000</v>
      </c>
    </row>
    <row r="373" spans="1:8" ht="18.75" x14ac:dyDescent="0.2">
      <c r="A373" s="3" t="str">
        <f t="shared" si="42"/>
        <v>98/11/26</v>
      </c>
      <c r="B373" s="3" t="str">
        <f t="shared" si="43"/>
        <v>كالاهاي مصرفي</v>
      </c>
      <c r="C373" s="3" t="str">
        <f>"انبار مركزي ( عمومي )"</f>
        <v>انبار مركزي ( عمومي )</v>
      </c>
      <c r="D373" s="3" t="str">
        <f>"0213001023"</f>
        <v>0213001023</v>
      </c>
      <c r="E373" s="3" t="str">
        <f>"تسمه حمل بار 3متري 10 تن"</f>
        <v>تسمه حمل بار 3متري 10 تن</v>
      </c>
      <c r="F373" s="3" t="str">
        <f t="shared" si="48"/>
        <v>عدد</v>
      </c>
      <c r="G373" s="3">
        <v>1</v>
      </c>
      <c r="H373" s="5">
        <v>850000</v>
      </c>
    </row>
    <row r="374" spans="1:8" ht="18.75" x14ac:dyDescent="0.2">
      <c r="A374" s="3" t="str">
        <f t="shared" si="42"/>
        <v>98/11/26</v>
      </c>
      <c r="B374" s="3" t="str">
        <f t="shared" si="43"/>
        <v>كالاهاي مصرفي</v>
      </c>
      <c r="C374" s="3" t="str">
        <f t="shared" ref="C374:C380" si="49">"انبار مصرفي ZU1"</f>
        <v>انبار مصرفي ZU1</v>
      </c>
      <c r="D374" s="3" t="str">
        <f>"0204001710"</f>
        <v>0204001710</v>
      </c>
      <c r="E374" s="3" t="str">
        <f>"كاسه نمد 10 *47 *30"</f>
        <v>كاسه نمد 10 *47 *30</v>
      </c>
      <c r="F374" s="3" t="str">
        <f t="shared" si="48"/>
        <v>عدد</v>
      </c>
      <c r="G374" s="3">
        <v>11</v>
      </c>
      <c r="H374" s="5">
        <v>853947</v>
      </c>
    </row>
    <row r="375" spans="1:8" ht="18.75" x14ac:dyDescent="0.2">
      <c r="A375" s="3" t="str">
        <f t="shared" si="42"/>
        <v>98/11/26</v>
      </c>
      <c r="B375" s="3" t="str">
        <f t="shared" si="43"/>
        <v>كالاهاي مصرفي</v>
      </c>
      <c r="C375" s="3" t="str">
        <f t="shared" si="49"/>
        <v>انبار مصرفي ZU1</v>
      </c>
      <c r="D375" s="3" t="str">
        <f>"0204000742"</f>
        <v>0204000742</v>
      </c>
      <c r="E375" s="3" t="str">
        <f>"كاسه نمد Mild Stee 45*60*3 AIA"</f>
        <v>كاسه نمد Mild Stee 45*60*3 AIA</v>
      </c>
      <c r="F375" s="3" t="str">
        <f t="shared" si="48"/>
        <v>عدد</v>
      </c>
      <c r="G375" s="3">
        <v>5</v>
      </c>
      <c r="H375" s="5">
        <v>855000</v>
      </c>
    </row>
    <row r="376" spans="1:8" ht="18.75" x14ac:dyDescent="0.2">
      <c r="A376" s="3" t="str">
        <f t="shared" si="42"/>
        <v>98/11/26</v>
      </c>
      <c r="B376" s="3" t="str">
        <f t="shared" si="43"/>
        <v>كالاهاي مصرفي</v>
      </c>
      <c r="C376" s="3" t="str">
        <f t="shared" si="49"/>
        <v>انبار مصرفي ZU1</v>
      </c>
      <c r="D376" s="3" t="str">
        <f>"0105000008"</f>
        <v>0105000008</v>
      </c>
      <c r="E376" s="3" t="str">
        <f>"اسپري روغني"</f>
        <v>اسپري روغني</v>
      </c>
      <c r="F376" s="3" t="str">
        <f t="shared" si="48"/>
        <v>عدد</v>
      </c>
      <c r="G376" s="3">
        <v>10</v>
      </c>
      <c r="H376" s="5">
        <v>861909</v>
      </c>
    </row>
    <row r="377" spans="1:8" ht="18.75" x14ac:dyDescent="0.2">
      <c r="A377" s="3" t="str">
        <f t="shared" si="42"/>
        <v>98/11/26</v>
      </c>
      <c r="B377" s="3" t="str">
        <f t="shared" si="43"/>
        <v>كالاهاي مصرفي</v>
      </c>
      <c r="C377" s="3" t="str">
        <f t="shared" si="49"/>
        <v>انبار مصرفي ZU1</v>
      </c>
      <c r="D377" s="3" t="str">
        <f>"0211000996"</f>
        <v>0211000996</v>
      </c>
      <c r="E377" s="3" t="str">
        <f>"سيم لحيم كاري"</f>
        <v>سيم لحيم كاري</v>
      </c>
      <c r="F377" s="3" t="str">
        <f>"قرقره"</f>
        <v>قرقره</v>
      </c>
      <c r="G377" s="3">
        <v>16</v>
      </c>
      <c r="H377" s="5">
        <v>865342</v>
      </c>
    </row>
    <row r="378" spans="1:8" ht="18.75" x14ac:dyDescent="0.2">
      <c r="A378" s="3" t="str">
        <f t="shared" si="42"/>
        <v>98/11/26</v>
      </c>
      <c r="B378" s="3" t="str">
        <f t="shared" si="43"/>
        <v>كالاهاي مصرفي</v>
      </c>
      <c r="C378" s="3" t="str">
        <f t="shared" si="49"/>
        <v>انبار مصرفي ZU1</v>
      </c>
      <c r="D378" s="3" t="str">
        <f>"0204000798"</f>
        <v>0204000798</v>
      </c>
      <c r="E378" s="3" t="str">
        <f>"بيرينگ 51101"</f>
        <v>بيرينگ 51101</v>
      </c>
      <c r="F378" s="3" t="str">
        <f t="shared" ref="F378:F394" si="50">"عدد"</f>
        <v>عدد</v>
      </c>
      <c r="G378" s="3">
        <v>6</v>
      </c>
      <c r="H378" s="5">
        <v>867000</v>
      </c>
    </row>
    <row r="379" spans="1:8" ht="18.75" x14ac:dyDescent="0.2">
      <c r="A379" s="3" t="str">
        <f t="shared" si="42"/>
        <v>98/11/26</v>
      </c>
      <c r="B379" s="3" t="str">
        <f t="shared" si="43"/>
        <v>كالاهاي مصرفي</v>
      </c>
      <c r="C379" s="3" t="str">
        <f t="shared" si="49"/>
        <v>انبار مصرفي ZU1</v>
      </c>
      <c r="D379" s="3" t="str">
        <f>"0204001274"</f>
        <v>0204001274</v>
      </c>
      <c r="E379" s="3" t="str">
        <f>"واشر اسپيرال تيپ A سايز3/2 *90* 100"</f>
        <v>واشر اسپيرال تيپ A سايز3/2 *90* 100</v>
      </c>
      <c r="F379" s="3" t="str">
        <f t="shared" si="50"/>
        <v>عدد</v>
      </c>
      <c r="G379" s="3">
        <v>29</v>
      </c>
      <c r="H379" s="5">
        <v>870000</v>
      </c>
    </row>
    <row r="380" spans="1:8" ht="18.75" x14ac:dyDescent="0.2">
      <c r="A380" s="3" t="str">
        <f t="shared" si="42"/>
        <v>98/11/26</v>
      </c>
      <c r="B380" s="3" t="str">
        <f t="shared" si="43"/>
        <v>كالاهاي مصرفي</v>
      </c>
      <c r="C380" s="3" t="str">
        <f t="shared" si="49"/>
        <v>انبار مصرفي ZU1</v>
      </c>
      <c r="D380" s="3" t="str">
        <f>"0204000299"</f>
        <v>0204000299</v>
      </c>
      <c r="E380" s="3" t="str">
        <f>"كاسه نمد 7*42*30"</f>
        <v>كاسه نمد 7*42*30</v>
      </c>
      <c r="F380" s="3" t="str">
        <f t="shared" si="50"/>
        <v>عدد</v>
      </c>
      <c r="G380" s="3">
        <v>7</v>
      </c>
      <c r="H380" s="5">
        <v>898000</v>
      </c>
    </row>
    <row r="381" spans="1:8" ht="18.75" x14ac:dyDescent="0.2">
      <c r="A381" s="3" t="str">
        <f t="shared" si="42"/>
        <v>98/11/26</v>
      </c>
      <c r="B381" s="3" t="str">
        <f t="shared" si="43"/>
        <v>كالاهاي مصرفي</v>
      </c>
      <c r="C381" s="3" t="str">
        <f>"انبار مركزي ( عمومي )"</f>
        <v>انبار مركزي ( عمومي )</v>
      </c>
      <c r="D381" s="3" t="str">
        <f>"0105000016"</f>
        <v>0105000016</v>
      </c>
      <c r="E381" s="3" t="str">
        <f>"اسپري فوم (تزريقي )"</f>
        <v>اسپري فوم (تزريقي )</v>
      </c>
      <c r="F381" s="3" t="str">
        <f t="shared" si="50"/>
        <v>عدد</v>
      </c>
      <c r="G381" s="3">
        <v>2</v>
      </c>
      <c r="H381" s="5">
        <v>900000</v>
      </c>
    </row>
    <row r="382" spans="1:8" ht="18.75" x14ac:dyDescent="0.2">
      <c r="A382" s="3" t="str">
        <f t="shared" si="42"/>
        <v>98/11/26</v>
      </c>
      <c r="B382" s="3" t="str">
        <f t="shared" si="43"/>
        <v>كالاهاي مصرفي</v>
      </c>
      <c r="C382" s="3" t="str">
        <f>"انبار مصرفي ZU1"</f>
        <v>انبار مصرفي ZU1</v>
      </c>
      <c r="D382" s="3" t="str">
        <f>"0105000095"</f>
        <v>0105000095</v>
      </c>
      <c r="E382" s="3" t="str">
        <f>"چسب دو جزيي"</f>
        <v>چسب دو جزيي</v>
      </c>
      <c r="F382" s="3" t="str">
        <f t="shared" si="50"/>
        <v>عدد</v>
      </c>
      <c r="G382" s="3">
        <v>3</v>
      </c>
      <c r="H382" s="5">
        <v>900000</v>
      </c>
    </row>
    <row r="383" spans="1:8" ht="18.75" x14ac:dyDescent="0.2">
      <c r="A383" s="3" t="str">
        <f t="shared" si="42"/>
        <v>98/11/26</v>
      </c>
      <c r="B383" s="3" t="str">
        <f t="shared" si="43"/>
        <v>كالاهاي مصرفي</v>
      </c>
      <c r="C383" s="3" t="str">
        <f>"انبار مصرفي ZU1"</f>
        <v>انبار مصرفي ZU1</v>
      </c>
      <c r="D383" s="3" t="str">
        <f>"0204001417"</f>
        <v>0204001417</v>
      </c>
      <c r="E383" s="3" t="str">
        <f>"فيبر وفنر 38mm"</f>
        <v>فيبر وفنر 38mm</v>
      </c>
      <c r="F383" s="3" t="str">
        <f t="shared" si="50"/>
        <v>عدد</v>
      </c>
      <c r="G383" s="3">
        <v>5</v>
      </c>
      <c r="H383" s="5">
        <v>900000</v>
      </c>
    </row>
    <row r="384" spans="1:8" ht="18.75" x14ac:dyDescent="0.2">
      <c r="A384" s="3" t="str">
        <f t="shared" si="42"/>
        <v>98/11/26</v>
      </c>
      <c r="B384" s="3" t="str">
        <f t="shared" si="43"/>
        <v>كالاهاي مصرفي</v>
      </c>
      <c r="C384" s="3" t="str">
        <f>"انبار مصرفي ZU1"</f>
        <v>انبار مصرفي ZU1</v>
      </c>
      <c r="D384" s="3" t="str">
        <f>"0204002231"</f>
        <v>0204002231</v>
      </c>
      <c r="E384" s="3" t="str">
        <f>"کاسه نمد 10*80*55"</f>
        <v>کاسه نمد 10*80*55</v>
      </c>
      <c r="F384" s="3" t="str">
        <f t="shared" si="50"/>
        <v>عدد</v>
      </c>
      <c r="G384" s="3">
        <v>2</v>
      </c>
      <c r="H384" s="5">
        <v>900000</v>
      </c>
    </row>
    <row r="385" spans="1:8" ht="18.75" x14ac:dyDescent="0.2">
      <c r="A385" s="3" t="str">
        <f t="shared" si="42"/>
        <v>98/11/26</v>
      </c>
      <c r="B385" s="3" t="str">
        <f t="shared" si="43"/>
        <v>كالاهاي مصرفي</v>
      </c>
      <c r="C385" s="3" t="str">
        <f>"انبار مركزي ( عمومي )"</f>
        <v>انبار مركزي ( عمومي )</v>
      </c>
      <c r="D385" s="3" t="str">
        <f>"0903000018"</f>
        <v>0903000018</v>
      </c>
      <c r="E385" s="3" t="str">
        <f>"Patch Cord Optic Fiber"</f>
        <v>Patch Cord Optic Fiber</v>
      </c>
      <c r="F385" s="3" t="str">
        <f t="shared" si="50"/>
        <v>عدد</v>
      </c>
      <c r="G385" s="3">
        <v>1</v>
      </c>
      <c r="H385" s="5">
        <v>900000</v>
      </c>
    </row>
    <row r="386" spans="1:8" ht="18.75" x14ac:dyDescent="0.2">
      <c r="A386" s="3" t="str">
        <f t="shared" ref="A386:A449" si="51">"98/11/26"</f>
        <v>98/11/26</v>
      </c>
      <c r="B386" s="3" t="str">
        <f t="shared" ref="B386:B449" si="52">"كالاهاي مصرفي"</f>
        <v>كالاهاي مصرفي</v>
      </c>
      <c r="C386" s="3" t="str">
        <f>"انبار مركزي ( عمومي )"</f>
        <v>انبار مركزي ( عمومي )</v>
      </c>
      <c r="D386" s="3" t="str">
        <f>"0205000037"</f>
        <v>0205000037</v>
      </c>
      <c r="E386" s="3" t="str">
        <f>"دستگيره كشويي كمد"</f>
        <v>دستگيره كشويي كمد</v>
      </c>
      <c r="F386" s="3" t="str">
        <f t="shared" si="50"/>
        <v>عدد</v>
      </c>
      <c r="G386" s="3">
        <v>50</v>
      </c>
      <c r="H386" s="5">
        <v>905000</v>
      </c>
    </row>
    <row r="387" spans="1:8" ht="18.75" x14ac:dyDescent="0.2">
      <c r="A387" s="3" t="str">
        <f t="shared" si="51"/>
        <v>98/11/26</v>
      </c>
      <c r="B387" s="3" t="str">
        <f t="shared" si="52"/>
        <v>كالاهاي مصرفي</v>
      </c>
      <c r="C387" s="3" t="str">
        <f>"انبار مركزي ( عمومي )"</f>
        <v>انبار مركزي ( عمومي )</v>
      </c>
      <c r="D387" s="3" t="str">
        <f>"0206000584"</f>
        <v>0206000584</v>
      </c>
      <c r="E387" s="3" t="str">
        <f>"بست شيلنگي 1/2*1  اينچ"</f>
        <v>بست شيلنگي 1/2*1  اينچ</v>
      </c>
      <c r="F387" s="3" t="str">
        <f t="shared" si="50"/>
        <v>عدد</v>
      </c>
      <c r="G387" s="3">
        <v>7</v>
      </c>
      <c r="H387" s="5">
        <v>922890</v>
      </c>
    </row>
    <row r="388" spans="1:8" ht="18.75" x14ac:dyDescent="0.2">
      <c r="A388" s="3" t="str">
        <f t="shared" si="51"/>
        <v>98/11/26</v>
      </c>
      <c r="B388" s="3" t="str">
        <f t="shared" si="52"/>
        <v>كالاهاي مصرفي</v>
      </c>
      <c r="C388" s="3" t="str">
        <f>"انبار مركزي ( عمومي )"</f>
        <v>انبار مركزي ( عمومي )</v>
      </c>
      <c r="D388" s="3" t="str">
        <f>"0203000130"</f>
        <v>0203000130</v>
      </c>
      <c r="E388" s="3" t="str">
        <f>"آچارفرانسه 6 اينچ (180mm )"</f>
        <v>آچارفرانسه 6 اينچ (180mm )</v>
      </c>
      <c r="F388" s="3" t="str">
        <f t="shared" si="50"/>
        <v>عدد</v>
      </c>
      <c r="G388" s="3">
        <v>3</v>
      </c>
      <c r="H388" s="5">
        <v>925324</v>
      </c>
    </row>
    <row r="389" spans="1:8" ht="18.75" x14ac:dyDescent="0.2">
      <c r="A389" s="3" t="str">
        <f t="shared" si="51"/>
        <v>98/11/26</v>
      </c>
      <c r="B389" s="3" t="str">
        <f t="shared" si="52"/>
        <v>كالاهاي مصرفي</v>
      </c>
      <c r="C389" s="3" t="str">
        <f t="shared" ref="C389:C394" si="53">"انبار مصرفي ZU1"</f>
        <v>انبار مصرفي ZU1</v>
      </c>
      <c r="D389" s="3" t="str">
        <f>"0213000457"</f>
        <v>0213000457</v>
      </c>
      <c r="E389" s="3" t="str">
        <f>"واشر برنجي M42"</f>
        <v>واشر برنجي M42</v>
      </c>
      <c r="F389" s="3" t="str">
        <f t="shared" si="50"/>
        <v>عدد</v>
      </c>
      <c r="G389" s="3">
        <v>14</v>
      </c>
      <c r="H389" s="5">
        <v>929810</v>
      </c>
    </row>
    <row r="390" spans="1:8" ht="18.75" x14ac:dyDescent="0.2">
      <c r="A390" s="3" t="str">
        <f t="shared" si="51"/>
        <v>98/11/26</v>
      </c>
      <c r="B390" s="3" t="str">
        <f t="shared" si="52"/>
        <v>كالاهاي مصرفي</v>
      </c>
      <c r="C390" s="3" t="str">
        <f t="shared" si="53"/>
        <v>انبار مصرفي ZU1</v>
      </c>
      <c r="D390" s="3" t="str">
        <f>"0204000303"</f>
        <v>0204000303</v>
      </c>
      <c r="E390" s="3" t="str">
        <f>"كاسه نمد 8*65*50"</f>
        <v>كاسه نمد 8*65*50</v>
      </c>
      <c r="F390" s="3" t="str">
        <f t="shared" si="50"/>
        <v>عدد</v>
      </c>
      <c r="G390" s="3">
        <v>22</v>
      </c>
      <c r="H390" s="5">
        <v>930925</v>
      </c>
    </row>
    <row r="391" spans="1:8" ht="18.75" x14ac:dyDescent="0.2">
      <c r="A391" s="3" t="str">
        <f t="shared" si="51"/>
        <v>98/11/26</v>
      </c>
      <c r="B391" s="3" t="str">
        <f t="shared" si="52"/>
        <v>كالاهاي مصرفي</v>
      </c>
      <c r="C391" s="3" t="str">
        <f t="shared" si="53"/>
        <v>انبار مصرفي ZU1</v>
      </c>
      <c r="D391" s="3" t="str">
        <f>"0204000091"</f>
        <v>0204000091</v>
      </c>
      <c r="E391" s="3" t="str">
        <f>"بيرينگ 2Z/C3-6208"</f>
        <v>بيرينگ 2Z/C3-6208</v>
      </c>
      <c r="F391" s="3" t="str">
        <f t="shared" si="50"/>
        <v>عدد</v>
      </c>
      <c r="G391" s="3">
        <v>5</v>
      </c>
      <c r="H391" s="5">
        <v>935000</v>
      </c>
    </row>
    <row r="392" spans="1:8" ht="18.75" x14ac:dyDescent="0.2">
      <c r="A392" s="3" t="str">
        <f t="shared" si="51"/>
        <v>98/11/26</v>
      </c>
      <c r="B392" s="3" t="str">
        <f t="shared" si="52"/>
        <v>كالاهاي مصرفي</v>
      </c>
      <c r="C392" s="3" t="str">
        <f t="shared" si="53"/>
        <v>انبار مصرفي ZU1</v>
      </c>
      <c r="D392" s="3" t="str">
        <f>"0204000872"</f>
        <v>0204000872</v>
      </c>
      <c r="E392" s="3" t="str">
        <f>"خار چشمي DIN471 M12 خارجي"</f>
        <v>خار چشمي DIN471 M12 خارجي</v>
      </c>
      <c r="F392" s="3" t="str">
        <f t="shared" si="50"/>
        <v>عدد</v>
      </c>
      <c r="G392" s="3">
        <v>59</v>
      </c>
      <c r="H392" s="5">
        <v>936695</v>
      </c>
    </row>
    <row r="393" spans="1:8" ht="18.75" x14ac:dyDescent="0.2">
      <c r="A393" s="3" t="str">
        <f t="shared" si="51"/>
        <v>98/11/26</v>
      </c>
      <c r="B393" s="3" t="str">
        <f t="shared" si="52"/>
        <v>كالاهاي مصرفي</v>
      </c>
      <c r="C393" s="3" t="str">
        <f t="shared" si="53"/>
        <v>انبار مصرفي ZU1</v>
      </c>
      <c r="D393" s="3" t="str">
        <f>"0204000292"</f>
        <v>0204000292</v>
      </c>
      <c r="E393" s="3" t="str">
        <f>"كاسه نمد 10*105*80"</f>
        <v>كاسه نمد 10*105*80</v>
      </c>
      <c r="F393" s="3" t="str">
        <f t="shared" si="50"/>
        <v>عدد</v>
      </c>
      <c r="G393" s="3">
        <v>11</v>
      </c>
      <c r="H393" s="5">
        <v>943800</v>
      </c>
    </row>
    <row r="394" spans="1:8" ht="18.75" x14ac:dyDescent="0.2">
      <c r="A394" s="3" t="str">
        <f t="shared" si="51"/>
        <v>98/11/26</v>
      </c>
      <c r="B394" s="3" t="str">
        <f t="shared" si="52"/>
        <v>كالاهاي مصرفي</v>
      </c>
      <c r="C394" s="3" t="str">
        <f t="shared" si="53"/>
        <v>انبار مصرفي ZU1</v>
      </c>
      <c r="D394" s="3" t="str">
        <f>"0203000078"</f>
        <v>0203000078</v>
      </c>
      <c r="E394" s="3" t="str">
        <f>"انبر پلمپ"</f>
        <v>انبر پلمپ</v>
      </c>
      <c r="F394" s="3" t="str">
        <f t="shared" si="50"/>
        <v>عدد</v>
      </c>
      <c r="G394" s="3">
        <v>3</v>
      </c>
      <c r="H394" s="5">
        <v>946364</v>
      </c>
    </row>
    <row r="395" spans="1:8" ht="18.75" x14ac:dyDescent="0.2">
      <c r="A395" s="3" t="str">
        <f t="shared" si="51"/>
        <v>98/11/26</v>
      </c>
      <c r="B395" s="3" t="str">
        <f t="shared" si="52"/>
        <v>كالاهاي مصرفي</v>
      </c>
      <c r="C395" s="3" t="str">
        <f>"انبار مركزي ( عمومي )"</f>
        <v>انبار مركزي ( عمومي )</v>
      </c>
      <c r="D395" s="3" t="str">
        <f>"0206000211"</f>
        <v>0206000211</v>
      </c>
      <c r="E395" s="3" t="str">
        <f>"بست كمر بندي پلاستيكي 45 سانتي"</f>
        <v>بست كمر بندي پلاستيكي 45 سانتي</v>
      </c>
      <c r="F395" s="3" t="str">
        <f>"بسته"</f>
        <v>بسته</v>
      </c>
      <c r="G395" s="3">
        <v>4</v>
      </c>
      <c r="H395" s="5">
        <v>946667</v>
      </c>
    </row>
    <row r="396" spans="1:8" ht="18.75" x14ac:dyDescent="0.2">
      <c r="A396" s="3" t="str">
        <f t="shared" si="51"/>
        <v>98/11/26</v>
      </c>
      <c r="B396" s="3" t="str">
        <f t="shared" si="52"/>
        <v>كالاهاي مصرفي</v>
      </c>
      <c r="C396" s="3" t="str">
        <f>"انبار مركزي ( عمومي )"</f>
        <v>انبار مركزي ( عمومي )</v>
      </c>
      <c r="D396" s="3" t="str">
        <f>"0202000439"</f>
        <v>0202000439</v>
      </c>
      <c r="E396" s="3" t="str">
        <f>"پرژکتور50 وات  LED"</f>
        <v>پرژکتور50 وات  LED</v>
      </c>
      <c r="F396" s="3" t="str">
        <f t="shared" ref="F396:F405" si="54">"عدد"</f>
        <v>عدد</v>
      </c>
      <c r="G396" s="3">
        <v>1</v>
      </c>
      <c r="H396" s="5">
        <v>950000</v>
      </c>
    </row>
    <row r="397" spans="1:8" ht="18.75" x14ac:dyDescent="0.2">
      <c r="A397" s="3" t="str">
        <f t="shared" si="51"/>
        <v>98/11/26</v>
      </c>
      <c r="B397" s="3" t="str">
        <f t="shared" si="52"/>
        <v>كالاهاي مصرفي</v>
      </c>
      <c r="C397" s="3" t="str">
        <f>"انبار مركزي ( عمومي )"</f>
        <v>انبار مركزي ( عمومي )</v>
      </c>
      <c r="D397" s="3" t="str">
        <f>"0203000096"</f>
        <v>0203000096</v>
      </c>
      <c r="E397" s="3" t="str">
        <f>"چكش دستي 5 كيلويي"</f>
        <v>چكش دستي 5 كيلويي</v>
      </c>
      <c r="F397" s="3" t="str">
        <f t="shared" si="54"/>
        <v>عدد</v>
      </c>
      <c r="G397" s="3">
        <v>1</v>
      </c>
      <c r="H397" s="5">
        <v>950000</v>
      </c>
    </row>
    <row r="398" spans="1:8" ht="18.75" x14ac:dyDescent="0.2">
      <c r="A398" s="3" t="str">
        <f t="shared" si="51"/>
        <v>98/11/26</v>
      </c>
      <c r="B398" s="3" t="str">
        <f t="shared" si="52"/>
        <v>كالاهاي مصرفي</v>
      </c>
      <c r="C398" s="3" t="str">
        <f>"انبار مصرفي ZU1"</f>
        <v>انبار مصرفي ZU1</v>
      </c>
      <c r="D398" s="3" t="str">
        <f>"0204000960"</f>
        <v>0204000960</v>
      </c>
      <c r="E398" s="3" t="str">
        <f>"بيرينگ 6204 2RS/C3"</f>
        <v>بيرينگ 6204 2RS/C3</v>
      </c>
      <c r="F398" s="3" t="str">
        <f t="shared" si="54"/>
        <v>عدد</v>
      </c>
      <c r="G398" s="3">
        <v>2</v>
      </c>
      <c r="H398" s="5">
        <v>950000</v>
      </c>
    </row>
    <row r="399" spans="1:8" ht="18.75" x14ac:dyDescent="0.2">
      <c r="A399" s="3" t="str">
        <f t="shared" si="51"/>
        <v>98/11/26</v>
      </c>
      <c r="B399" s="3" t="str">
        <f t="shared" si="52"/>
        <v>كالاهاي مصرفي</v>
      </c>
      <c r="C399" s="3" t="str">
        <f>"انبار مركزي ( عمومي )"</f>
        <v>انبار مركزي ( عمومي )</v>
      </c>
      <c r="D399" s="3" t="str">
        <f>"0206000095"</f>
        <v>0206000095</v>
      </c>
      <c r="E399" s="3" t="str">
        <f>"زانو پوليكا 4 اينچ 45 درجه"</f>
        <v>زانو پوليكا 4 اينچ 45 درجه</v>
      </c>
      <c r="F399" s="3" t="str">
        <f t="shared" si="54"/>
        <v>عدد</v>
      </c>
      <c r="G399" s="3">
        <v>10</v>
      </c>
      <c r="H399" s="5">
        <v>950000</v>
      </c>
    </row>
    <row r="400" spans="1:8" ht="18.75" x14ac:dyDescent="0.2">
      <c r="A400" s="3" t="str">
        <f t="shared" si="51"/>
        <v>98/11/26</v>
      </c>
      <c r="B400" s="3" t="str">
        <f t="shared" si="52"/>
        <v>كالاهاي مصرفي</v>
      </c>
      <c r="C400" s="3" t="str">
        <f>"انبار مركزي ( عمومي )"</f>
        <v>انبار مركزي ( عمومي )</v>
      </c>
      <c r="D400" s="3" t="str">
        <f>"0105000033"</f>
        <v>0105000033</v>
      </c>
      <c r="E400" s="3" t="str">
        <f>"اسپري چند منظوره(تميزكننده) A40"</f>
        <v>اسپري چند منظوره(تميزكننده) A40</v>
      </c>
      <c r="F400" s="3" t="str">
        <f t="shared" si="54"/>
        <v>عدد</v>
      </c>
      <c r="G400" s="3">
        <v>8</v>
      </c>
      <c r="H400" s="5">
        <v>960000</v>
      </c>
    </row>
    <row r="401" spans="1:8" ht="18.75" x14ac:dyDescent="0.2">
      <c r="A401" s="3" t="str">
        <f t="shared" si="51"/>
        <v>98/11/26</v>
      </c>
      <c r="B401" s="3" t="str">
        <f t="shared" si="52"/>
        <v>كالاهاي مصرفي</v>
      </c>
      <c r="C401" s="3" t="str">
        <f>"انبار مصرفي ZU1"</f>
        <v>انبار مصرفي ZU1</v>
      </c>
      <c r="D401" s="3" t="str">
        <f>"0203000118"</f>
        <v>0203000118</v>
      </c>
      <c r="E401" s="3" t="str">
        <f>"چكش  500 گرمي"</f>
        <v>چكش  500 گرمي</v>
      </c>
      <c r="F401" s="3" t="str">
        <f t="shared" si="54"/>
        <v>عدد</v>
      </c>
      <c r="G401" s="3">
        <v>3</v>
      </c>
      <c r="H401" s="5">
        <v>960000</v>
      </c>
    </row>
    <row r="402" spans="1:8" ht="18.75" x14ac:dyDescent="0.2">
      <c r="A402" s="3" t="str">
        <f t="shared" si="51"/>
        <v>98/11/26</v>
      </c>
      <c r="B402" s="3" t="str">
        <f t="shared" si="52"/>
        <v>كالاهاي مصرفي</v>
      </c>
      <c r="C402" s="3" t="str">
        <f>"انبار مصرفي ZU1"</f>
        <v>انبار مصرفي ZU1</v>
      </c>
      <c r="D402" s="3" t="str">
        <f>"0203000228"</f>
        <v>0203000228</v>
      </c>
      <c r="E402" s="3" t="str">
        <f>"چكش پلاستيكي"</f>
        <v>چكش پلاستيكي</v>
      </c>
      <c r="F402" s="3" t="str">
        <f t="shared" si="54"/>
        <v>عدد</v>
      </c>
      <c r="G402" s="3">
        <v>4</v>
      </c>
      <c r="H402" s="5">
        <v>960000</v>
      </c>
    </row>
    <row r="403" spans="1:8" ht="18.75" x14ac:dyDescent="0.2">
      <c r="A403" s="3" t="str">
        <f t="shared" si="51"/>
        <v>98/11/26</v>
      </c>
      <c r="B403" s="3" t="str">
        <f t="shared" si="52"/>
        <v>كالاهاي مصرفي</v>
      </c>
      <c r="C403" s="3" t="str">
        <f>"انبار مصرفي ZU1"</f>
        <v>انبار مصرفي ZU1</v>
      </c>
      <c r="D403" s="3" t="str">
        <f>"0213000945"</f>
        <v>0213000945</v>
      </c>
      <c r="E403" s="3" t="str">
        <f>"پيچ تمام رزوه M27*130"</f>
        <v>پيچ تمام رزوه M27*130</v>
      </c>
      <c r="F403" s="3" t="str">
        <f t="shared" si="54"/>
        <v>عدد</v>
      </c>
      <c r="G403" s="3">
        <v>9</v>
      </c>
      <c r="H403" s="5">
        <v>962280</v>
      </c>
    </row>
    <row r="404" spans="1:8" ht="18.75" x14ac:dyDescent="0.2">
      <c r="A404" s="3" t="str">
        <f t="shared" si="51"/>
        <v>98/11/26</v>
      </c>
      <c r="B404" s="3" t="str">
        <f t="shared" si="52"/>
        <v>كالاهاي مصرفي</v>
      </c>
      <c r="C404" s="3" t="str">
        <f>"انبار مركزي ( عمومي )"</f>
        <v>انبار مركزي ( عمومي )</v>
      </c>
      <c r="D404" s="3" t="str">
        <f>"0206000485"</f>
        <v>0206000485</v>
      </c>
      <c r="E404" s="3" t="str">
        <f>"زانو يكسر دنده سبز3/4 در1/2 اينچ"</f>
        <v>زانو يكسر دنده سبز3/4 در1/2 اينچ</v>
      </c>
      <c r="F404" s="3" t="str">
        <f t="shared" si="54"/>
        <v>عدد</v>
      </c>
      <c r="G404" s="3">
        <v>20</v>
      </c>
      <c r="H404" s="5">
        <v>970000</v>
      </c>
    </row>
    <row r="405" spans="1:8" ht="18.75" x14ac:dyDescent="0.2">
      <c r="A405" s="3" t="str">
        <f t="shared" si="51"/>
        <v>98/11/26</v>
      </c>
      <c r="B405" s="3" t="str">
        <f t="shared" si="52"/>
        <v>كالاهاي مصرفي</v>
      </c>
      <c r="C405" s="3" t="str">
        <f>"انبار مصرفي ZU1"</f>
        <v>انبار مصرفي ZU1</v>
      </c>
      <c r="D405" s="3" t="str">
        <f>"0204000700"</f>
        <v>0204000700</v>
      </c>
      <c r="E405" s="3" t="str">
        <f>"بيرينگ 6008"</f>
        <v>بيرينگ 6008</v>
      </c>
      <c r="F405" s="3" t="str">
        <f t="shared" si="54"/>
        <v>عدد</v>
      </c>
      <c r="G405" s="3">
        <v>7</v>
      </c>
      <c r="H405" s="5">
        <v>971250</v>
      </c>
    </row>
    <row r="406" spans="1:8" ht="18.75" x14ac:dyDescent="0.2">
      <c r="A406" s="3" t="str">
        <f t="shared" si="51"/>
        <v>98/11/26</v>
      </c>
      <c r="B406" s="3" t="str">
        <f t="shared" si="52"/>
        <v>كالاهاي مصرفي</v>
      </c>
      <c r="C406" s="3" t="str">
        <f>"انبار مصرفي ZU1"</f>
        <v>انبار مصرفي ZU1</v>
      </c>
      <c r="D406" s="3" t="str">
        <f>"0204001549"</f>
        <v>0204001549</v>
      </c>
      <c r="E406" s="3" t="str">
        <f>"اورينگ NBR ضخامت 1.5"</f>
        <v>اورينگ NBR ضخامت 1.5</v>
      </c>
      <c r="F406" s="3" t="str">
        <f>"متر"</f>
        <v>متر</v>
      </c>
      <c r="G406" s="3">
        <v>50</v>
      </c>
      <c r="H406" s="5">
        <v>971429</v>
      </c>
    </row>
    <row r="407" spans="1:8" ht="18.75" x14ac:dyDescent="0.2">
      <c r="A407" s="3" t="str">
        <f t="shared" si="51"/>
        <v>98/11/26</v>
      </c>
      <c r="B407" s="3" t="str">
        <f t="shared" si="52"/>
        <v>كالاهاي مصرفي</v>
      </c>
      <c r="C407" s="3" t="str">
        <f>"انبار مركزي ( عمومي )"</f>
        <v>انبار مركزي ( عمومي )</v>
      </c>
      <c r="D407" s="3" t="str">
        <f>"0213000275"</f>
        <v>0213000275</v>
      </c>
      <c r="E407" s="3" t="str">
        <f>"مته الماسه چهار شياره نمره  8"</f>
        <v>مته الماسه چهار شياره نمره  8</v>
      </c>
      <c r="F407" s="3" t="str">
        <f>"عدد"</f>
        <v>عدد</v>
      </c>
      <c r="G407" s="3">
        <v>7</v>
      </c>
      <c r="H407" s="5">
        <v>976429</v>
      </c>
    </row>
    <row r="408" spans="1:8" ht="18.75" x14ac:dyDescent="0.2">
      <c r="A408" s="3" t="str">
        <f t="shared" si="51"/>
        <v>98/11/26</v>
      </c>
      <c r="B408" s="3" t="str">
        <f t="shared" si="52"/>
        <v>كالاهاي مصرفي</v>
      </c>
      <c r="C408" s="3" t="str">
        <f>"انبار مصرفي ZU1"</f>
        <v>انبار مصرفي ZU1</v>
      </c>
      <c r="D408" s="3" t="str">
        <f>"0204001550"</f>
        <v>0204001550</v>
      </c>
      <c r="E408" s="3" t="str">
        <f>"اورينگ NBR ضخامت 2"</f>
        <v>اورينگ NBR ضخامت 2</v>
      </c>
      <c r="F408" s="3" t="str">
        <f>"متر"</f>
        <v>متر</v>
      </c>
      <c r="G408" s="3">
        <v>50</v>
      </c>
      <c r="H408" s="5">
        <v>985714</v>
      </c>
    </row>
    <row r="409" spans="1:8" ht="18.75" x14ac:dyDescent="0.2">
      <c r="A409" s="3" t="str">
        <f t="shared" si="51"/>
        <v>98/11/26</v>
      </c>
      <c r="B409" s="3" t="str">
        <f t="shared" si="52"/>
        <v>كالاهاي مصرفي</v>
      </c>
      <c r="C409" s="3" t="str">
        <f>"انبار مصرفي ZU1"</f>
        <v>انبار مصرفي ZU1</v>
      </c>
      <c r="D409" s="3" t="str">
        <f>"0213000380"</f>
        <v>0213000380</v>
      </c>
      <c r="E409" s="3" t="str">
        <f>"پيچ يك سر رزوه كربن استيل M10*30"</f>
        <v>پيچ يك سر رزوه كربن استيل M10*30</v>
      </c>
      <c r="F409" s="3" t="str">
        <f t="shared" ref="F409:F427" si="55">"عدد"</f>
        <v>عدد</v>
      </c>
      <c r="G409" s="3">
        <v>184</v>
      </c>
      <c r="H409" s="5">
        <v>985926</v>
      </c>
    </row>
    <row r="410" spans="1:8" ht="18.75" x14ac:dyDescent="0.2">
      <c r="A410" s="3" t="str">
        <f t="shared" si="51"/>
        <v>98/11/26</v>
      </c>
      <c r="B410" s="3" t="str">
        <f t="shared" si="52"/>
        <v>كالاهاي مصرفي</v>
      </c>
      <c r="C410" s="3" t="str">
        <f>"انبار مركزي ( عمومي )"</f>
        <v>انبار مركزي ( عمومي )</v>
      </c>
      <c r="D410" s="3" t="str">
        <f>"0101000077"</f>
        <v>0101000077</v>
      </c>
      <c r="E410" s="3" t="str">
        <f>"روله رنگ آميزي 10 سانتي بدون دسته"</f>
        <v>روله رنگ آميزي 10 سانتي بدون دسته</v>
      </c>
      <c r="F410" s="3" t="str">
        <f t="shared" si="55"/>
        <v>عدد</v>
      </c>
      <c r="G410" s="3">
        <v>10</v>
      </c>
      <c r="H410" s="5">
        <v>986452</v>
      </c>
    </row>
    <row r="411" spans="1:8" ht="18.75" x14ac:dyDescent="0.2">
      <c r="A411" s="3" t="str">
        <f t="shared" si="51"/>
        <v>98/11/26</v>
      </c>
      <c r="B411" s="3" t="str">
        <f t="shared" si="52"/>
        <v>كالاهاي مصرفي</v>
      </c>
      <c r="C411" s="3" t="str">
        <f>"انبار مصرفي ZU1"</f>
        <v>انبار مصرفي ZU1</v>
      </c>
      <c r="D411" s="3" t="str">
        <f>"0204000283"</f>
        <v>0204000283</v>
      </c>
      <c r="E411" s="3" t="str">
        <f>"كاسه نمد 10*72*50"</f>
        <v>كاسه نمد 10*72*50</v>
      </c>
      <c r="F411" s="3" t="str">
        <f t="shared" si="55"/>
        <v>عدد</v>
      </c>
      <c r="G411" s="3">
        <v>4</v>
      </c>
      <c r="H411" s="5">
        <v>986667</v>
      </c>
    </row>
    <row r="412" spans="1:8" ht="18.75" x14ac:dyDescent="0.2">
      <c r="A412" s="3" t="str">
        <f t="shared" si="51"/>
        <v>98/11/26</v>
      </c>
      <c r="B412" s="3" t="str">
        <f t="shared" si="52"/>
        <v>كالاهاي مصرفي</v>
      </c>
      <c r="C412" s="3" t="str">
        <f>"انبار مصرفي ZU1"</f>
        <v>انبار مصرفي ZU1</v>
      </c>
      <c r="D412" s="3" t="str">
        <f>"0601000136"</f>
        <v>0601000136</v>
      </c>
      <c r="E412" s="3" t="str">
        <f>"شيشه سفيد ماسك جوشكاري"</f>
        <v>شيشه سفيد ماسك جوشكاري</v>
      </c>
      <c r="F412" s="3" t="str">
        <f t="shared" si="55"/>
        <v>عدد</v>
      </c>
      <c r="G412" s="3">
        <v>260</v>
      </c>
      <c r="H412" s="5">
        <v>988000</v>
      </c>
    </row>
    <row r="413" spans="1:8" ht="18.75" x14ac:dyDescent="0.2">
      <c r="A413" s="3" t="str">
        <f t="shared" si="51"/>
        <v>98/11/26</v>
      </c>
      <c r="B413" s="3" t="str">
        <f t="shared" si="52"/>
        <v>كالاهاي مصرفي</v>
      </c>
      <c r="C413" s="3" t="str">
        <f>"انبار مصرفي ZU1"</f>
        <v>انبار مصرفي ZU1</v>
      </c>
      <c r="D413" s="3" t="str">
        <f>"0204000666"</f>
        <v>0204000666</v>
      </c>
      <c r="E413" s="3" t="str">
        <f>"واشر اورينگ رزيني NBR 75( -1) X 3.6"</f>
        <v>واشر اورينگ رزيني NBR 75( -1) X 3.6</v>
      </c>
      <c r="F413" s="3" t="str">
        <f t="shared" si="55"/>
        <v>عدد</v>
      </c>
      <c r="G413" s="3">
        <v>18</v>
      </c>
      <c r="H413" s="5">
        <v>990000</v>
      </c>
    </row>
    <row r="414" spans="1:8" ht="18.75" x14ac:dyDescent="0.2">
      <c r="A414" s="3" t="str">
        <f t="shared" si="51"/>
        <v>98/11/26</v>
      </c>
      <c r="B414" s="3" t="str">
        <f t="shared" si="52"/>
        <v>كالاهاي مصرفي</v>
      </c>
      <c r="C414" s="3" t="str">
        <f>"انبار مركزي ( عمومي )"</f>
        <v>انبار مركزي ( عمومي )</v>
      </c>
      <c r="D414" s="3" t="str">
        <f>"0213000397"</f>
        <v>0213000397</v>
      </c>
      <c r="E414" s="3" t="str">
        <f>"پيچ يك سر رزوه استنلس استيل M12*75"</f>
        <v>پيچ يك سر رزوه استنلس استيل M12*75</v>
      </c>
      <c r="F414" s="3" t="str">
        <f t="shared" si="55"/>
        <v>عدد</v>
      </c>
      <c r="G414" s="3">
        <v>6</v>
      </c>
      <c r="H414" s="5">
        <v>990000</v>
      </c>
    </row>
    <row r="415" spans="1:8" ht="18.75" x14ac:dyDescent="0.2">
      <c r="A415" s="3" t="str">
        <f t="shared" si="51"/>
        <v>98/11/26</v>
      </c>
      <c r="B415" s="3" t="str">
        <f t="shared" si="52"/>
        <v>كالاهاي مصرفي</v>
      </c>
      <c r="C415" s="3" t="str">
        <f>"انبار مصرفي ZU1"</f>
        <v>انبار مصرفي ZU1</v>
      </c>
      <c r="D415" s="3" t="str">
        <f>"0204001461"</f>
        <v>0204001461</v>
      </c>
      <c r="E415" s="3" t="str">
        <f>"بيرينگ 6303 2RS-C3"</f>
        <v>بيرينگ 6303 2RS-C3</v>
      </c>
      <c r="F415" s="3" t="str">
        <f t="shared" si="55"/>
        <v>عدد</v>
      </c>
      <c r="G415" s="3">
        <v>10</v>
      </c>
      <c r="H415" s="5">
        <v>1000000</v>
      </c>
    </row>
    <row r="416" spans="1:8" ht="18.75" x14ac:dyDescent="0.2">
      <c r="A416" s="3" t="str">
        <f t="shared" si="51"/>
        <v>98/11/26</v>
      </c>
      <c r="B416" s="3" t="str">
        <f t="shared" si="52"/>
        <v>كالاهاي مصرفي</v>
      </c>
      <c r="C416" s="3" t="str">
        <f>"انبار مركزي ( عمومي )"</f>
        <v>انبار مركزي ( عمومي )</v>
      </c>
      <c r="D416" s="3" t="str">
        <f>"0213000627"</f>
        <v>0213000627</v>
      </c>
      <c r="E416" s="3" t="str">
        <f>"مته الماسه معمولي نمره 12"</f>
        <v>مته الماسه معمولي نمره 12</v>
      </c>
      <c r="F416" s="3" t="str">
        <f t="shared" si="55"/>
        <v>عدد</v>
      </c>
      <c r="G416" s="3">
        <v>8</v>
      </c>
      <c r="H416" s="5">
        <v>1000000</v>
      </c>
    </row>
    <row r="417" spans="1:8" ht="18.75" x14ac:dyDescent="0.2">
      <c r="A417" s="3" t="str">
        <f t="shared" si="51"/>
        <v>98/11/26</v>
      </c>
      <c r="B417" s="3" t="str">
        <f t="shared" si="52"/>
        <v>كالاهاي مصرفي</v>
      </c>
      <c r="C417" s="3" t="str">
        <f>"انبار مركزي ( عمومي )"</f>
        <v>انبار مركزي ( عمومي )</v>
      </c>
      <c r="D417" s="3" t="str">
        <f>"0906000157"</f>
        <v>0906000157</v>
      </c>
      <c r="E417" s="3" t="str">
        <f>"بلانك پنل 2 يونيت"</f>
        <v>بلانك پنل 2 يونيت</v>
      </c>
      <c r="F417" s="3" t="str">
        <f t="shared" si="55"/>
        <v>عدد</v>
      </c>
      <c r="G417" s="3">
        <v>4</v>
      </c>
      <c r="H417" s="5">
        <v>1000000</v>
      </c>
    </row>
    <row r="418" spans="1:8" ht="18.75" x14ac:dyDescent="0.2">
      <c r="A418" s="3" t="str">
        <f t="shared" si="51"/>
        <v>98/11/26</v>
      </c>
      <c r="B418" s="3" t="str">
        <f t="shared" si="52"/>
        <v>كالاهاي مصرفي</v>
      </c>
      <c r="C418" s="3" t="str">
        <f>"انبار مركزي ( عمومي )"</f>
        <v>انبار مركزي ( عمومي )</v>
      </c>
      <c r="D418" s="3" t="str">
        <f>"0203000113"</f>
        <v>0203000113</v>
      </c>
      <c r="E418" s="3" t="str">
        <f>"پيچ گوشتي چكش خور ( ضربه اي )"</f>
        <v>پيچ گوشتي چكش خور ( ضربه اي )</v>
      </c>
      <c r="F418" s="3" t="str">
        <f t="shared" si="55"/>
        <v>عدد</v>
      </c>
      <c r="G418" s="3">
        <v>7</v>
      </c>
      <c r="H418" s="5">
        <v>1005865</v>
      </c>
    </row>
    <row r="419" spans="1:8" ht="18.75" x14ac:dyDescent="0.2">
      <c r="A419" s="3" t="str">
        <f t="shared" si="51"/>
        <v>98/11/26</v>
      </c>
      <c r="B419" s="3" t="str">
        <f t="shared" si="52"/>
        <v>كالاهاي مصرفي</v>
      </c>
      <c r="C419" s="3" t="str">
        <f>"انبار مركزي ( عمومي )"</f>
        <v>انبار مركزي ( عمومي )</v>
      </c>
      <c r="D419" s="3" t="str">
        <f>"0213000938"</f>
        <v>0213000938</v>
      </c>
      <c r="E419" s="3" t="str">
        <f>"مته الماسه چهار شياره نمره 14"</f>
        <v>مته الماسه چهار شياره نمره 14</v>
      </c>
      <c r="F419" s="3" t="str">
        <f t="shared" si="55"/>
        <v>عدد</v>
      </c>
      <c r="G419" s="3">
        <v>7</v>
      </c>
      <c r="H419" s="5">
        <v>1015000</v>
      </c>
    </row>
    <row r="420" spans="1:8" ht="18.75" x14ac:dyDescent="0.2">
      <c r="A420" s="3" t="str">
        <f t="shared" si="51"/>
        <v>98/11/26</v>
      </c>
      <c r="B420" s="3" t="str">
        <f t="shared" si="52"/>
        <v>كالاهاي مصرفي</v>
      </c>
      <c r="C420" s="3" t="str">
        <f>"انبار مصرفي ZU1"</f>
        <v>انبار مصرفي ZU1</v>
      </c>
      <c r="D420" s="3" t="str">
        <f>"0204000765"</f>
        <v>0204000765</v>
      </c>
      <c r="E420" s="3" t="str">
        <f>"بيرينگ 6210"</f>
        <v>بيرينگ 6210</v>
      </c>
      <c r="F420" s="3" t="str">
        <f t="shared" si="55"/>
        <v>عدد</v>
      </c>
      <c r="G420" s="3">
        <v>4</v>
      </c>
      <c r="H420" s="5">
        <v>1020000</v>
      </c>
    </row>
    <row r="421" spans="1:8" ht="18.75" x14ac:dyDescent="0.2">
      <c r="A421" s="3" t="str">
        <f t="shared" si="51"/>
        <v>98/11/26</v>
      </c>
      <c r="B421" s="3" t="str">
        <f t="shared" si="52"/>
        <v>كالاهاي مصرفي</v>
      </c>
      <c r="C421" s="3" t="str">
        <f>"انبار مصرفي ZU1"</f>
        <v>انبار مصرفي ZU1</v>
      </c>
      <c r="D421" s="3" t="str">
        <f>"0204001790"</f>
        <v>0204001790</v>
      </c>
      <c r="E421" s="3" t="str">
        <f>"بيرينگ 6017"</f>
        <v>بيرينگ 6017</v>
      </c>
      <c r="F421" s="3" t="str">
        <f t="shared" si="55"/>
        <v>عدد</v>
      </c>
      <c r="G421" s="3">
        <v>1</v>
      </c>
      <c r="H421" s="5">
        <v>1020000</v>
      </c>
    </row>
    <row r="422" spans="1:8" ht="18.75" x14ac:dyDescent="0.2">
      <c r="A422" s="3" t="str">
        <f t="shared" si="51"/>
        <v>98/11/26</v>
      </c>
      <c r="B422" s="3" t="str">
        <f t="shared" si="52"/>
        <v>كالاهاي مصرفي</v>
      </c>
      <c r="C422" s="3" t="str">
        <f>"انبار مركزي ( عمومي )"</f>
        <v>انبار مركزي ( عمومي )</v>
      </c>
      <c r="D422" s="3" t="str">
        <f>"0204000048"</f>
        <v>0204000048</v>
      </c>
      <c r="E422" s="3" t="str">
        <f>"شاسي زنگ روكار"</f>
        <v>شاسي زنگ روكار</v>
      </c>
      <c r="F422" s="3" t="str">
        <f t="shared" si="55"/>
        <v>عدد</v>
      </c>
      <c r="G422" s="3">
        <v>20</v>
      </c>
      <c r="H422" s="5">
        <v>1022546</v>
      </c>
    </row>
    <row r="423" spans="1:8" ht="18.75" x14ac:dyDescent="0.2">
      <c r="A423" s="3" t="str">
        <f t="shared" si="51"/>
        <v>98/11/26</v>
      </c>
      <c r="B423" s="3" t="str">
        <f t="shared" si="52"/>
        <v>كالاهاي مصرفي</v>
      </c>
      <c r="C423" s="3" t="str">
        <f t="shared" ref="C423:C432" si="56">"انبار مصرفي ZU1"</f>
        <v>انبار مصرفي ZU1</v>
      </c>
      <c r="D423" s="3" t="str">
        <f>"0204000761"</f>
        <v>0204000761</v>
      </c>
      <c r="E423" s="3" t="str">
        <f>"بيرينگ 6207"</f>
        <v>بيرينگ 6207</v>
      </c>
      <c r="F423" s="3" t="str">
        <f t="shared" si="55"/>
        <v>عدد</v>
      </c>
      <c r="G423" s="3">
        <v>4</v>
      </c>
      <c r="H423" s="5">
        <v>1040000</v>
      </c>
    </row>
    <row r="424" spans="1:8" ht="18.75" x14ac:dyDescent="0.2">
      <c r="A424" s="3" t="str">
        <f t="shared" si="51"/>
        <v>98/11/26</v>
      </c>
      <c r="B424" s="3" t="str">
        <f t="shared" si="52"/>
        <v>كالاهاي مصرفي</v>
      </c>
      <c r="C424" s="3" t="str">
        <f t="shared" si="56"/>
        <v>انبار مصرفي ZU1</v>
      </c>
      <c r="D424" s="3" t="str">
        <f>"0204000936"</f>
        <v>0204000936</v>
      </c>
      <c r="E424" s="3" t="str">
        <f>"خار چشمي DIN471 M75 خارجي"</f>
        <v>خار چشمي DIN471 M75 خارجي</v>
      </c>
      <c r="F424" s="3" t="str">
        <f t="shared" si="55"/>
        <v>عدد</v>
      </c>
      <c r="G424" s="3">
        <v>30</v>
      </c>
      <c r="H424" s="5">
        <v>1040200</v>
      </c>
    </row>
    <row r="425" spans="1:8" ht="18.75" x14ac:dyDescent="0.2">
      <c r="A425" s="3" t="str">
        <f t="shared" si="51"/>
        <v>98/11/26</v>
      </c>
      <c r="B425" s="3" t="str">
        <f t="shared" si="52"/>
        <v>كالاهاي مصرفي</v>
      </c>
      <c r="C425" s="3" t="str">
        <f t="shared" si="56"/>
        <v>انبار مصرفي ZU1</v>
      </c>
      <c r="D425" s="3" t="str">
        <f>"0203000091"</f>
        <v>0203000091</v>
      </c>
      <c r="E425" s="3" t="str">
        <f>"انبردست"</f>
        <v>انبردست</v>
      </c>
      <c r="F425" s="3" t="str">
        <f t="shared" si="55"/>
        <v>عدد</v>
      </c>
      <c r="G425" s="3">
        <v>2</v>
      </c>
      <c r="H425" s="5">
        <v>1049599</v>
      </c>
    </row>
    <row r="426" spans="1:8" ht="18.75" x14ac:dyDescent="0.2">
      <c r="A426" s="3" t="str">
        <f t="shared" si="51"/>
        <v>98/11/26</v>
      </c>
      <c r="B426" s="3" t="str">
        <f t="shared" si="52"/>
        <v>كالاهاي مصرفي</v>
      </c>
      <c r="C426" s="3" t="str">
        <f t="shared" si="56"/>
        <v>انبار مصرفي ZU1</v>
      </c>
      <c r="D426" s="3" t="str">
        <f>"0203000061"</f>
        <v>0203000061</v>
      </c>
      <c r="E426" s="3" t="str">
        <f>"چكش 800 گرمي"</f>
        <v>چكش 800 گرمي</v>
      </c>
      <c r="F426" s="3" t="str">
        <f t="shared" si="55"/>
        <v>عدد</v>
      </c>
      <c r="G426" s="3">
        <v>3</v>
      </c>
      <c r="H426" s="5">
        <v>1050000</v>
      </c>
    </row>
    <row r="427" spans="1:8" ht="18.75" x14ac:dyDescent="0.2">
      <c r="A427" s="3" t="str">
        <f t="shared" si="51"/>
        <v>98/11/26</v>
      </c>
      <c r="B427" s="3" t="str">
        <f t="shared" si="52"/>
        <v>كالاهاي مصرفي</v>
      </c>
      <c r="C427" s="3" t="str">
        <f t="shared" si="56"/>
        <v>انبار مصرفي ZU1</v>
      </c>
      <c r="D427" s="3" t="str">
        <f>"0204001341"</f>
        <v>0204001341</v>
      </c>
      <c r="E427" s="3" t="str">
        <f>"اورينگ HNBR 177*4.0"</f>
        <v>اورينگ HNBR 177*4.0</v>
      </c>
      <c r="F427" s="3" t="str">
        <f t="shared" si="55"/>
        <v>عدد</v>
      </c>
      <c r="G427" s="3">
        <v>3</v>
      </c>
      <c r="H427" s="5">
        <v>1050000</v>
      </c>
    </row>
    <row r="428" spans="1:8" ht="18.75" x14ac:dyDescent="0.2">
      <c r="A428" s="3" t="str">
        <f t="shared" si="51"/>
        <v>98/11/26</v>
      </c>
      <c r="B428" s="3" t="str">
        <f t="shared" si="52"/>
        <v>كالاهاي مصرفي</v>
      </c>
      <c r="C428" s="3" t="str">
        <f t="shared" si="56"/>
        <v>انبار مصرفي ZU1</v>
      </c>
      <c r="D428" s="3" t="str">
        <f>"0213000362"</f>
        <v>0213000362</v>
      </c>
      <c r="E428" s="3" t="str">
        <f>"پيچ دو سر رزوه استنلس استيل M12"</f>
        <v>پيچ دو سر رزوه استنلس استيل M12</v>
      </c>
      <c r="F428" s="3" t="str">
        <f>"متر"</f>
        <v>متر</v>
      </c>
      <c r="G428" s="3">
        <v>5</v>
      </c>
      <c r="H428" s="5">
        <v>1055000</v>
      </c>
    </row>
    <row r="429" spans="1:8" ht="18.75" x14ac:dyDescent="0.2">
      <c r="A429" s="3" t="str">
        <f t="shared" si="51"/>
        <v>98/11/26</v>
      </c>
      <c r="B429" s="3" t="str">
        <f t="shared" si="52"/>
        <v>كالاهاي مصرفي</v>
      </c>
      <c r="C429" s="3" t="str">
        <f t="shared" si="56"/>
        <v>انبار مصرفي ZU1</v>
      </c>
      <c r="D429" s="3" t="str">
        <f>"0213000033"</f>
        <v>0213000033</v>
      </c>
      <c r="E429" s="3" t="str">
        <f>"پيچ M8*12"</f>
        <v>پيچ M8*12</v>
      </c>
      <c r="F429" s="3" t="str">
        <f>"عدد"</f>
        <v>عدد</v>
      </c>
      <c r="G429" s="3">
        <v>1292</v>
      </c>
      <c r="H429" s="5">
        <v>1079777</v>
      </c>
    </row>
    <row r="430" spans="1:8" ht="18.75" x14ac:dyDescent="0.2">
      <c r="A430" s="3" t="str">
        <f t="shared" si="51"/>
        <v>98/11/26</v>
      </c>
      <c r="B430" s="3" t="str">
        <f t="shared" si="52"/>
        <v>كالاهاي مصرفي</v>
      </c>
      <c r="C430" s="3" t="str">
        <f t="shared" si="56"/>
        <v>انبار مصرفي ZU1</v>
      </c>
      <c r="D430" s="3" t="str">
        <f>"0204000899"</f>
        <v>0204000899</v>
      </c>
      <c r="E430" s="3" t="str">
        <f>"خار چشمي DIN472 M37 داخلي"</f>
        <v>خار چشمي DIN472 M37 داخلي</v>
      </c>
      <c r="F430" s="3" t="str">
        <f>"عدد"</f>
        <v>عدد</v>
      </c>
      <c r="G430" s="3">
        <v>40</v>
      </c>
      <c r="H430" s="5">
        <v>1086400</v>
      </c>
    </row>
    <row r="431" spans="1:8" ht="18.75" x14ac:dyDescent="0.2">
      <c r="A431" s="3" t="str">
        <f t="shared" si="51"/>
        <v>98/11/26</v>
      </c>
      <c r="B431" s="3" t="str">
        <f t="shared" si="52"/>
        <v>كالاهاي مصرفي</v>
      </c>
      <c r="C431" s="3" t="str">
        <f t="shared" si="56"/>
        <v>انبار مصرفي ZU1</v>
      </c>
      <c r="D431" s="3" t="str">
        <f>"0213000725"</f>
        <v>0213000725</v>
      </c>
      <c r="E431" s="3" t="str">
        <f>"ميخ 4 سانتي"</f>
        <v>ميخ 4 سانتي</v>
      </c>
      <c r="F431" s="3" t="str">
        <f>"کيلوگرم"</f>
        <v>کيلوگرم</v>
      </c>
      <c r="G431" s="3">
        <v>17.5</v>
      </c>
      <c r="H431" s="5">
        <v>1097727</v>
      </c>
    </row>
    <row r="432" spans="1:8" ht="18.75" x14ac:dyDescent="0.2">
      <c r="A432" s="3" t="str">
        <f t="shared" si="51"/>
        <v>98/11/26</v>
      </c>
      <c r="B432" s="3" t="str">
        <f t="shared" si="52"/>
        <v>كالاهاي مصرفي</v>
      </c>
      <c r="C432" s="3" t="str">
        <f t="shared" si="56"/>
        <v>انبار مصرفي ZU1</v>
      </c>
      <c r="D432" s="3" t="str">
        <f>"0107000034"</f>
        <v>0107000034</v>
      </c>
      <c r="E432" s="3" t="str">
        <f>"ماده پاك كننده دست 500 گرمي"</f>
        <v>ماده پاك كننده دست 500 گرمي</v>
      </c>
      <c r="F432" s="3" t="str">
        <f>"قوطي"</f>
        <v>قوطي</v>
      </c>
      <c r="G432" s="3">
        <v>11</v>
      </c>
      <c r="H432" s="5">
        <v>1100000</v>
      </c>
    </row>
    <row r="433" spans="1:8" ht="18.75" x14ac:dyDescent="0.2">
      <c r="A433" s="3" t="str">
        <f t="shared" si="51"/>
        <v>98/11/26</v>
      </c>
      <c r="B433" s="3" t="str">
        <f t="shared" si="52"/>
        <v>كالاهاي مصرفي</v>
      </c>
      <c r="C433" s="3" t="str">
        <f>"انبار مركزي ( عمومي )"</f>
        <v>انبار مركزي ( عمومي )</v>
      </c>
      <c r="D433" s="3" t="str">
        <f>"0203000146"</f>
        <v>0203000146</v>
      </c>
      <c r="E433" s="3" t="str">
        <f>"متر پارچه اي 20 متري"</f>
        <v>متر پارچه اي 20 متري</v>
      </c>
      <c r="F433" s="3" t="str">
        <f>"عدد"</f>
        <v>عدد</v>
      </c>
      <c r="G433" s="3">
        <v>5</v>
      </c>
      <c r="H433" s="5">
        <v>1100000</v>
      </c>
    </row>
    <row r="434" spans="1:8" ht="18.75" x14ac:dyDescent="0.2">
      <c r="A434" s="3" t="str">
        <f t="shared" si="51"/>
        <v>98/11/26</v>
      </c>
      <c r="B434" s="3" t="str">
        <f t="shared" si="52"/>
        <v>كالاهاي مصرفي</v>
      </c>
      <c r="C434" s="3" t="str">
        <f>"انبار مصرفي ZU1"</f>
        <v>انبار مصرفي ZU1</v>
      </c>
      <c r="D434" s="3" t="str">
        <f>"0204000354"</f>
        <v>0204000354</v>
      </c>
      <c r="E434" s="3" t="str">
        <f>"واشر اورينگ رزيني3.5*(2-)124"</f>
        <v>واشر اورينگ رزيني3.5*(2-)124</v>
      </c>
      <c r="F434" s="3" t="str">
        <f>"عدد"</f>
        <v>عدد</v>
      </c>
      <c r="G434" s="3">
        <v>20</v>
      </c>
      <c r="H434" s="5">
        <v>1100000</v>
      </c>
    </row>
    <row r="435" spans="1:8" ht="18.75" x14ac:dyDescent="0.2">
      <c r="A435" s="3" t="str">
        <f t="shared" si="51"/>
        <v>98/11/26</v>
      </c>
      <c r="B435" s="3" t="str">
        <f t="shared" si="52"/>
        <v>كالاهاي مصرفي</v>
      </c>
      <c r="C435" s="3" t="str">
        <f>"انبار مصرفي ZU1"</f>
        <v>انبار مصرفي ZU1</v>
      </c>
      <c r="D435" s="3" t="str">
        <f>"0204001430"</f>
        <v>0204001430</v>
      </c>
      <c r="E435" s="3" t="str">
        <f>"واشر پريشمان ضخامت 0/2 ميليمتر"</f>
        <v>واشر پريشمان ضخامت 0/2 ميليمتر</v>
      </c>
      <c r="F435" s="3" t="str">
        <f>"ورق"</f>
        <v>ورق</v>
      </c>
      <c r="G435" s="3">
        <v>2</v>
      </c>
      <c r="H435" s="5">
        <v>1100000</v>
      </c>
    </row>
    <row r="436" spans="1:8" ht="18.75" x14ac:dyDescent="0.2">
      <c r="A436" s="3" t="str">
        <f t="shared" si="51"/>
        <v>98/11/26</v>
      </c>
      <c r="B436" s="3" t="str">
        <f t="shared" si="52"/>
        <v>كالاهاي مصرفي</v>
      </c>
      <c r="C436" s="3" t="str">
        <f>"انبار مركزي ( عمومي )"</f>
        <v>انبار مركزي ( عمومي )</v>
      </c>
      <c r="D436" s="3" t="str">
        <f>"0206000168"</f>
        <v>0206000168</v>
      </c>
      <c r="E436" s="3" t="str">
        <f>"بست شيلنگي 2 اينچ"</f>
        <v>بست شيلنگي 2 اينچ</v>
      </c>
      <c r="F436" s="3" t="str">
        <f>"عدد"</f>
        <v>عدد</v>
      </c>
      <c r="G436" s="3">
        <v>5</v>
      </c>
      <c r="H436" s="5">
        <v>1100000</v>
      </c>
    </row>
    <row r="437" spans="1:8" ht="18.75" x14ac:dyDescent="0.2">
      <c r="A437" s="3" t="str">
        <f t="shared" si="51"/>
        <v>98/11/26</v>
      </c>
      <c r="B437" s="3" t="str">
        <f t="shared" si="52"/>
        <v>كالاهاي مصرفي</v>
      </c>
      <c r="C437" s="3" t="str">
        <f>"انبار مصرفي ZU1"</f>
        <v>انبار مصرفي ZU1</v>
      </c>
      <c r="D437" s="3" t="str">
        <f>"0206000514"</f>
        <v>0206000514</v>
      </c>
      <c r="E437" s="3" t="str">
        <f>"زانو پلي اتيلن 90*180 - 16 بار -  پي 100"</f>
        <v>زانو پلي اتيلن 90*180 - 16 بار -  پي 100</v>
      </c>
      <c r="F437" s="3" t="str">
        <f>"عدد"</f>
        <v>عدد</v>
      </c>
      <c r="G437" s="3">
        <v>1</v>
      </c>
      <c r="H437" s="5">
        <v>1100000</v>
      </c>
    </row>
    <row r="438" spans="1:8" ht="18.75" x14ac:dyDescent="0.2">
      <c r="A438" s="3" t="str">
        <f t="shared" si="51"/>
        <v>98/11/26</v>
      </c>
      <c r="B438" s="3" t="str">
        <f t="shared" si="52"/>
        <v>كالاهاي مصرفي</v>
      </c>
      <c r="C438" s="3" t="str">
        <f>"انبار مصرفي ZU1"</f>
        <v>انبار مصرفي ZU1</v>
      </c>
      <c r="D438" s="3" t="str">
        <f>"0213000041"</f>
        <v>0213000041</v>
      </c>
      <c r="E438" s="3" t="str">
        <f>"پيچ تمام رزوه کربن استيل M12"</f>
        <v>پيچ تمام رزوه کربن استيل M12</v>
      </c>
      <c r="F438" s="3" t="str">
        <f>"متر"</f>
        <v>متر</v>
      </c>
      <c r="G438" s="3">
        <v>5</v>
      </c>
      <c r="H438" s="5">
        <v>1100000</v>
      </c>
    </row>
    <row r="439" spans="1:8" ht="18.75" x14ac:dyDescent="0.2">
      <c r="A439" s="3" t="str">
        <f t="shared" si="51"/>
        <v>98/11/26</v>
      </c>
      <c r="B439" s="3" t="str">
        <f t="shared" si="52"/>
        <v>كالاهاي مصرفي</v>
      </c>
      <c r="C439" s="3" t="str">
        <f>"انبار مركزي ( عمومي )"</f>
        <v>انبار مركزي ( عمومي )</v>
      </c>
      <c r="D439" s="3" t="str">
        <f>"0213001022"</f>
        <v>0213001022</v>
      </c>
      <c r="E439" s="3" t="str">
        <f>"تسمه حمل بار 3متري 3 تن"</f>
        <v>تسمه حمل بار 3متري 3 تن</v>
      </c>
      <c r="F439" s="3" t="str">
        <f>"عدد"</f>
        <v>عدد</v>
      </c>
      <c r="G439" s="3">
        <v>2</v>
      </c>
      <c r="H439" s="5">
        <v>1100000</v>
      </c>
    </row>
    <row r="440" spans="1:8" ht="18.75" x14ac:dyDescent="0.2">
      <c r="A440" s="3" t="str">
        <f t="shared" si="51"/>
        <v>98/11/26</v>
      </c>
      <c r="B440" s="3" t="str">
        <f t="shared" si="52"/>
        <v>كالاهاي مصرفي</v>
      </c>
      <c r="C440" s="3" t="str">
        <f t="shared" ref="C440:C446" si="57">"انبار مصرفي ZU1"</f>
        <v>انبار مصرفي ZU1</v>
      </c>
      <c r="D440" s="3" t="str">
        <f>"0204000932"</f>
        <v>0204000932</v>
      </c>
      <c r="E440" s="3" t="str">
        <f>"خار چشمي DIN471 M70 خارجي"</f>
        <v>خار چشمي DIN471 M70 خارجي</v>
      </c>
      <c r="F440" s="3" t="str">
        <f>"عدد"</f>
        <v>عدد</v>
      </c>
      <c r="G440" s="3">
        <v>30</v>
      </c>
      <c r="H440" s="5">
        <v>1102400</v>
      </c>
    </row>
    <row r="441" spans="1:8" ht="18.75" x14ac:dyDescent="0.2">
      <c r="A441" s="3" t="str">
        <f t="shared" si="51"/>
        <v>98/11/26</v>
      </c>
      <c r="B441" s="3" t="str">
        <f t="shared" si="52"/>
        <v>كالاهاي مصرفي</v>
      </c>
      <c r="C441" s="3" t="str">
        <f t="shared" si="57"/>
        <v>انبار مصرفي ZU1</v>
      </c>
      <c r="D441" s="3" t="str">
        <f>"0204001005"</f>
        <v>0204001005</v>
      </c>
      <c r="E441" s="3" t="str">
        <f>"خار چشمي DIN471 M95 خارجي"</f>
        <v>خار چشمي DIN471 M95 خارجي</v>
      </c>
      <c r="F441" s="3" t="str">
        <f>"عدد"</f>
        <v>عدد</v>
      </c>
      <c r="G441" s="3">
        <v>30</v>
      </c>
      <c r="H441" s="5">
        <v>1117000</v>
      </c>
    </row>
    <row r="442" spans="1:8" ht="18.75" x14ac:dyDescent="0.2">
      <c r="A442" s="3" t="str">
        <f t="shared" si="51"/>
        <v>98/11/26</v>
      </c>
      <c r="B442" s="3" t="str">
        <f t="shared" si="52"/>
        <v>كالاهاي مصرفي</v>
      </c>
      <c r="C442" s="3" t="str">
        <f t="shared" si="57"/>
        <v>انبار مصرفي ZU1</v>
      </c>
      <c r="D442" s="3" t="str">
        <f>"0213000390"</f>
        <v>0213000390</v>
      </c>
      <c r="E442" s="3" t="str">
        <f>"پيچ يك سر رزوه كربن استيل M12*40"</f>
        <v>پيچ يك سر رزوه كربن استيل M12*40</v>
      </c>
      <c r="F442" s="3" t="str">
        <f>"عدد"</f>
        <v>عدد</v>
      </c>
      <c r="G442" s="3">
        <v>107</v>
      </c>
      <c r="H442" s="5">
        <v>1118365</v>
      </c>
    </row>
    <row r="443" spans="1:8" ht="18.75" x14ac:dyDescent="0.2">
      <c r="A443" s="3" t="str">
        <f t="shared" si="51"/>
        <v>98/11/26</v>
      </c>
      <c r="B443" s="3" t="str">
        <f t="shared" si="52"/>
        <v>كالاهاي مصرفي</v>
      </c>
      <c r="C443" s="3" t="str">
        <f t="shared" si="57"/>
        <v>انبار مصرفي ZU1</v>
      </c>
      <c r="D443" s="3" t="str">
        <f>"0204002145"</f>
        <v>0204002145</v>
      </c>
      <c r="E443" s="3" t="str">
        <f>"تسمه پروانه  SPZ(UO -1600"</f>
        <v>تسمه پروانه  SPZ(UO -1600</v>
      </c>
      <c r="F443" s="3" t="str">
        <f>"حلقه"</f>
        <v>حلقه</v>
      </c>
      <c r="G443" s="3">
        <v>4</v>
      </c>
      <c r="H443" s="5">
        <v>1120000</v>
      </c>
    </row>
    <row r="444" spans="1:8" ht="18.75" x14ac:dyDescent="0.2">
      <c r="A444" s="3" t="str">
        <f t="shared" si="51"/>
        <v>98/11/26</v>
      </c>
      <c r="B444" s="3" t="str">
        <f t="shared" si="52"/>
        <v>كالاهاي مصرفي</v>
      </c>
      <c r="C444" s="3" t="str">
        <f t="shared" si="57"/>
        <v>انبار مصرفي ZU1</v>
      </c>
      <c r="D444" s="3" t="str">
        <f>"0204000909"</f>
        <v>0204000909</v>
      </c>
      <c r="E444" s="3" t="str">
        <f>"خار چشمي DIN472 M45 داخلي"</f>
        <v>خار چشمي DIN472 M45 داخلي</v>
      </c>
      <c r="F444" s="3" t="str">
        <f t="shared" ref="F444:F452" si="58">"عدد"</f>
        <v>عدد</v>
      </c>
      <c r="G444" s="3">
        <v>40</v>
      </c>
      <c r="H444" s="5">
        <v>1121500</v>
      </c>
    </row>
    <row r="445" spans="1:8" ht="18.75" x14ac:dyDescent="0.2">
      <c r="A445" s="3" t="str">
        <f t="shared" si="51"/>
        <v>98/11/26</v>
      </c>
      <c r="B445" s="3" t="str">
        <f t="shared" si="52"/>
        <v>كالاهاي مصرفي</v>
      </c>
      <c r="C445" s="3" t="str">
        <f t="shared" si="57"/>
        <v>انبار مصرفي ZU1</v>
      </c>
      <c r="D445" s="3" t="str">
        <f>"0204001876"</f>
        <v>0204001876</v>
      </c>
      <c r="E445" s="3" t="str">
        <f>"کاسه نمد 37*28*4.5"</f>
        <v>کاسه نمد 37*28*4.5</v>
      </c>
      <c r="F445" s="3" t="str">
        <f t="shared" si="58"/>
        <v>عدد</v>
      </c>
      <c r="G445" s="3">
        <v>5</v>
      </c>
      <c r="H445" s="5">
        <v>1125000</v>
      </c>
    </row>
    <row r="446" spans="1:8" ht="18.75" x14ac:dyDescent="0.2">
      <c r="A446" s="3" t="str">
        <f t="shared" si="51"/>
        <v>98/11/26</v>
      </c>
      <c r="B446" s="3" t="str">
        <f t="shared" si="52"/>
        <v>كالاهاي مصرفي</v>
      </c>
      <c r="C446" s="3" t="str">
        <f t="shared" si="57"/>
        <v>انبار مصرفي ZU1</v>
      </c>
      <c r="D446" s="3" t="str">
        <f>"0204000321"</f>
        <v>0204000321</v>
      </c>
      <c r="E446" s="3" t="str">
        <f>"كاسه نمد 7*62*45"</f>
        <v>كاسه نمد 7*62*45</v>
      </c>
      <c r="F446" s="3" t="str">
        <f t="shared" si="58"/>
        <v>عدد</v>
      </c>
      <c r="G446" s="3">
        <v>2</v>
      </c>
      <c r="H446" s="5">
        <v>1131111</v>
      </c>
    </row>
    <row r="447" spans="1:8" ht="18.75" x14ac:dyDescent="0.2">
      <c r="A447" s="3" t="str">
        <f t="shared" si="51"/>
        <v>98/11/26</v>
      </c>
      <c r="B447" s="3" t="str">
        <f t="shared" si="52"/>
        <v>كالاهاي مصرفي</v>
      </c>
      <c r="C447" s="3" t="str">
        <f>"انبار مركزي ( عمومي )"</f>
        <v>انبار مركزي ( عمومي )</v>
      </c>
      <c r="D447" s="3" t="str">
        <f>"0211001314"</f>
        <v>0211001314</v>
      </c>
      <c r="E447" s="3" t="str">
        <f>"جاكليدي 63 عددي درب دار فلزي"</f>
        <v>جاكليدي 63 عددي درب دار فلزي</v>
      </c>
      <c r="F447" s="3" t="str">
        <f t="shared" si="58"/>
        <v>عدد</v>
      </c>
      <c r="G447" s="3">
        <v>1</v>
      </c>
      <c r="H447" s="5">
        <v>1136111</v>
      </c>
    </row>
    <row r="448" spans="1:8" ht="18.75" x14ac:dyDescent="0.2">
      <c r="A448" s="3" t="str">
        <f t="shared" si="51"/>
        <v>98/11/26</v>
      </c>
      <c r="B448" s="3" t="str">
        <f t="shared" si="52"/>
        <v>كالاهاي مصرفي</v>
      </c>
      <c r="C448" s="3" t="str">
        <f t="shared" ref="C448:C456" si="59">"انبار مصرفي ZU1"</f>
        <v>انبار مصرفي ZU1</v>
      </c>
      <c r="D448" s="3" t="str">
        <f>"0204000355"</f>
        <v>0204000355</v>
      </c>
      <c r="E448" s="3" t="str">
        <f>"واشر اورينگ رزيني 4*(2-)158"</f>
        <v>واشر اورينگ رزيني 4*(2-)158</v>
      </c>
      <c r="F448" s="3" t="str">
        <f t="shared" si="58"/>
        <v>عدد</v>
      </c>
      <c r="G448" s="3">
        <v>19</v>
      </c>
      <c r="H448" s="5">
        <v>1140000</v>
      </c>
    </row>
    <row r="449" spans="1:8" ht="18.75" x14ac:dyDescent="0.2">
      <c r="A449" s="3" t="str">
        <f t="shared" si="51"/>
        <v>98/11/26</v>
      </c>
      <c r="B449" s="3" t="str">
        <f t="shared" si="52"/>
        <v>كالاهاي مصرفي</v>
      </c>
      <c r="C449" s="3" t="str">
        <f t="shared" si="59"/>
        <v>انبار مصرفي ZU1</v>
      </c>
      <c r="D449" s="3" t="str">
        <f>"0203000113"</f>
        <v>0203000113</v>
      </c>
      <c r="E449" s="3" t="str">
        <f>"پيچ گوشتي چكش خور ( ضربه اي )"</f>
        <v>پيچ گوشتي چكش خور ( ضربه اي )</v>
      </c>
      <c r="F449" s="3" t="str">
        <f t="shared" si="58"/>
        <v>عدد</v>
      </c>
      <c r="G449" s="3">
        <v>8</v>
      </c>
      <c r="H449" s="5">
        <v>1149560</v>
      </c>
    </row>
    <row r="450" spans="1:8" ht="18.75" x14ac:dyDescent="0.2">
      <c r="A450" s="3" t="str">
        <f t="shared" ref="A450:A513" si="60">"98/11/26"</f>
        <v>98/11/26</v>
      </c>
      <c r="B450" s="3" t="str">
        <f t="shared" ref="B450:B513" si="61">"كالاهاي مصرفي"</f>
        <v>كالاهاي مصرفي</v>
      </c>
      <c r="C450" s="3" t="str">
        <f t="shared" si="59"/>
        <v>انبار مصرفي ZU1</v>
      </c>
      <c r="D450" s="3" t="str">
        <f>"0213000413"</f>
        <v>0213000413</v>
      </c>
      <c r="E450" s="3" t="str">
        <f>"پيچ يك سر رزوه استنلس استيل M20*60"</f>
        <v>پيچ يك سر رزوه استنلس استيل M20*60</v>
      </c>
      <c r="F450" s="3" t="str">
        <f t="shared" si="58"/>
        <v>عدد</v>
      </c>
      <c r="G450" s="3">
        <v>20</v>
      </c>
      <c r="H450" s="5">
        <v>1160000</v>
      </c>
    </row>
    <row r="451" spans="1:8" ht="18.75" x14ac:dyDescent="0.2">
      <c r="A451" s="3" t="str">
        <f t="shared" si="60"/>
        <v>98/11/26</v>
      </c>
      <c r="B451" s="3" t="str">
        <f t="shared" si="61"/>
        <v>كالاهاي مصرفي</v>
      </c>
      <c r="C451" s="3" t="str">
        <f t="shared" si="59"/>
        <v>انبار مصرفي ZU1</v>
      </c>
      <c r="D451" s="3" t="str">
        <f>"0204001884"</f>
        <v>0204001884</v>
      </c>
      <c r="E451" s="3" t="str">
        <f>"كاسه نمد Mild Steel 42*52*4 AIA"</f>
        <v>كاسه نمد Mild Steel 42*52*4 AIA</v>
      </c>
      <c r="F451" s="3" t="str">
        <f t="shared" si="58"/>
        <v>عدد</v>
      </c>
      <c r="G451" s="3">
        <v>5</v>
      </c>
      <c r="H451" s="5">
        <v>1165000</v>
      </c>
    </row>
    <row r="452" spans="1:8" ht="18.75" x14ac:dyDescent="0.2">
      <c r="A452" s="3" t="str">
        <f t="shared" si="60"/>
        <v>98/11/26</v>
      </c>
      <c r="B452" s="3" t="str">
        <f t="shared" si="61"/>
        <v>كالاهاي مصرفي</v>
      </c>
      <c r="C452" s="3" t="str">
        <f t="shared" si="59"/>
        <v>انبار مصرفي ZU1</v>
      </c>
      <c r="D452" s="3" t="str">
        <f>"0213000240"</f>
        <v>0213000240</v>
      </c>
      <c r="E452" s="3" t="str">
        <f>"پيچ و مهره و واشر استيل غير مغناطيسي - کامل رزوه M10*40"</f>
        <v>پيچ و مهره و واشر استيل غير مغناطيسي - کامل رزوه M10*40</v>
      </c>
      <c r="F452" s="3" t="str">
        <f t="shared" si="58"/>
        <v>عدد</v>
      </c>
      <c r="G452" s="3">
        <v>30</v>
      </c>
      <c r="H452" s="5">
        <v>1165500</v>
      </c>
    </row>
    <row r="453" spans="1:8" ht="18.75" x14ac:dyDescent="0.2">
      <c r="A453" s="3" t="str">
        <f t="shared" si="60"/>
        <v>98/11/26</v>
      </c>
      <c r="B453" s="3" t="str">
        <f t="shared" si="61"/>
        <v>كالاهاي مصرفي</v>
      </c>
      <c r="C453" s="3" t="str">
        <f t="shared" si="59"/>
        <v>انبار مصرفي ZU1</v>
      </c>
      <c r="D453" s="3" t="str">
        <f>"0204001551"</f>
        <v>0204001551</v>
      </c>
      <c r="E453" s="3" t="str">
        <f>"اورينگ NBR ضخامت 2.5"</f>
        <v>اورينگ NBR ضخامت 2.5</v>
      </c>
      <c r="F453" s="3" t="str">
        <f>"متر"</f>
        <v>متر</v>
      </c>
      <c r="G453" s="3">
        <v>50</v>
      </c>
      <c r="H453" s="5">
        <v>1178571</v>
      </c>
    </row>
    <row r="454" spans="1:8" ht="18.75" x14ac:dyDescent="0.2">
      <c r="A454" s="3" t="str">
        <f t="shared" si="60"/>
        <v>98/11/26</v>
      </c>
      <c r="B454" s="3" t="str">
        <f t="shared" si="61"/>
        <v>كالاهاي مصرفي</v>
      </c>
      <c r="C454" s="3" t="str">
        <f t="shared" si="59"/>
        <v>انبار مصرفي ZU1</v>
      </c>
      <c r="D454" s="3" t="str">
        <f>"0204001229"</f>
        <v>0204001229</v>
      </c>
      <c r="E454" s="3" t="str">
        <f>"بيرينگ 6009 /2Z"</f>
        <v>بيرينگ 6009 /2Z</v>
      </c>
      <c r="F454" s="3" t="str">
        <f>"عدد"</f>
        <v>عدد</v>
      </c>
      <c r="G454" s="3">
        <v>7</v>
      </c>
      <c r="H454" s="5">
        <v>1182222</v>
      </c>
    </row>
    <row r="455" spans="1:8" ht="18.75" x14ac:dyDescent="0.2">
      <c r="A455" s="3" t="str">
        <f t="shared" si="60"/>
        <v>98/11/26</v>
      </c>
      <c r="B455" s="3" t="str">
        <f t="shared" si="61"/>
        <v>كالاهاي مصرفي</v>
      </c>
      <c r="C455" s="3" t="str">
        <f t="shared" si="59"/>
        <v>انبار مصرفي ZU1</v>
      </c>
      <c r="D455" s="3" t="str">
        <f>"0213000442"</f>
        <v>0213000442</v>
      </c>
      <c r="E455" s="3" t="str">
        <f>"واشر استنلس استيل M8"</f>
        <v>واشر استنلس استيل M8</v>
      </c>
      <c r="F455" s="3" t="str">
        <f>"عدد"</f>
        <v>عدد</v>
      </c>
      <c r="G455" s="3">
        <v>109</v>
      </c>
      <c r="H455" s="5">
        <v>1183119</v>
      </c>
    </row>
    <row r="456" spans="1:8" ht="18.75" x14ac:dyDescent="0.2">
      <c r="A456" s="3" t="str">
        <f t="shared" si="60"/>
        <v>98/11/26</v>
      </c>
      <c r="B456" s="3" t="str">
        <f t="shared" si="61"/>
        <v>كالاهاي مصرفي</v>
      </c>
      <c r="C456" s="3" t="str">
        <f t="shared" si="59"/>
        <v>انبار مصرفي ZU1</v>
      </c>
      <c r="D456" s="3" t="str">
        <f>"0106000179"</f>
        <v>0106000179</v>
      </c>
      <c r="E456" s="3" t="str">
        <f>"گريس  معمولي"</f>
        <v>گريس  معمولي</v>
      </c>
      <c r="F456" s="3" t="str">
        <f>"قوطي"</f>
        <v>قوطي</v>
      </c>
      <c r="G456" s="3">
        <v>7</v>
      </c>
      <c r="H456" s="5">
        <v>1190000</v>
      </c>
    </row>
    <row r="457" spans="1:8" ht="18.75" x14ac:dyDescent="0.2">
      <c r="A457" s="3" t="str">
        <f t="shared" si="60"/>
        <v>98/11/26</v>
      </c>
      <c r="B457" s="3" t="str">
        <f t="shared" si="61"/>
        <v>كالاهاي مصرفي</v>
      </c>
      <c r="C457" s="3" t="str">
        <f>"انبار مركزي ( عمومي )"</f>
        <v>انبار مركزي ( عمومي )</v>
      </c>
      <c r="D457" s="3" t="str">
        <f>"0906000351"</f>
        <v>0906000351</v>
      </c>
      <c r="E457" s="3" t="str">
        <f>"قاب ماژول تراكينگ"</f>
        <v>قاب ماژول تراكينگ</v>
      </c>
      <c r="F457" s="3" t="str">
        <f t="shared" ref="F457:F468" si="62">"عدد"</f>
        <v>عدد</v>
      </c>
      <c r="G457" s="3">
        <v>7</v>
      </c>
      <c r="H457" s="5">
        <v>1190000</v>
      </c>
    </row>
    <row r="458" spans="1:8" ht="18.75" x14ac:dyDescent="0.2">
      <c r="A458" s="3" t="str">
        <f t="shared" si="60"/>
        <v>98/11/26</v>
      </c>
      <c r="B458" s="3" t="str">
        <f t="shared" si="61"/>
        <v>كالاهاي مصرفي</v>
      </c>
      <c r="C458" s="3" t="str">
        <f>"انبار مصرفي ZU1"</f>
        <v>انبار مصرفي ZU1</v>
      </c>
      <c r="D458" s="3" t="str">
        <f>"0204000921"</f>
        <v>0204000921</v>
      </c>
      <c r="E458" s="3" t="str">
        <f>"خار چشمي DIN472 M55 داخلي"</f>
        <v>خار چشمي DIN472 M55 داخلي</v>
      </c>
      <c r="F458" s="3" t="str">
        <f t="shared" si="62"/>
        <v>عدد</v>
      </c>
      <c r="G458" s="3">
        <v>40</v>
      </c>
      <c r="H458" s="5">
        <v>1191700</v>
      </c>
    </row>
    <row r="459" spans="1:8" ht="18.75" x14ac:dyDescent="0.2">
      <c r="A459" s="3" t="str">
        <f t="shared" si="60"/>
        <v>98/11/26</v>
      </c>
      <c r="B459" s="3" t="str">
        <f t="shared" si="61"/>
        <v>كالاهاي مصرفي</v>
      </c>
      <c r="C459" s="3" t="str">
        <f>"انبار مصرفي ZU1"</f>
        <v>انبار مصرفي ZU1</v>
      </c>
      <c r="D459" s="3" t="str">
        <f>"0204000925"</f>
        <v>0204000925</v>
      </c>
      <c r="E459" s="3" t="str">
        <f>"خار چشمي DIN472 M60 داخلي"</f>
        <v>خار چشمي DIN472 M60 داخلي</v>
      </c>
      <c r="F459" s="3" t="str">
        <f t="shared" si="62"/>
        <v>عدد</v>
      </c>
      <c r="G459" s="3">
        <v>40</v>
      </c>
      <c r="H459" s="5">
        <v>1194400</v>
      </c>
    </row>
    <row r="460" spans="1:8" ht="18.75" x14ac:dyDescent="0.2">
      <c r="A460" s="3" t="str">
        <f t="shared" si="60"/>
        <v>98/11/26</v>
      </c>
      <c r="B460" s="3" t="str">
        <f t="shared" si="61"/>
        <v>كالاهاي مصرفي</v>
      </c>
      <c r="C460" s="3" t="str">
        <f>"انبار مصرفي ZU1"</f>
        <v>انبار مصرفي ZU1</v>
      </c>
      <c r="D460" s="3" t="str">
        <f>"0204000530"</f>
        <v>0204000530</v>
      </c>
      <c r="E460" s="3" t="str">
        <f>"بيرينگ6205-2Z/C3"</f>
        <v>بيرينگ6205-2Z/C3</v>
      </c>
      <c r="F460" s="3" t="str">
        <f t="shared" si="62"/>
        <v>عدد</v>
      </c>
      <c r="G460" s="3">
        <v>3</v>
      </c>
      <c r="H460" s="5">
        <v>1200000</v>
      </c>
    </row>
    <row r="461" spans="1:8" ht="18.75" x14ac:dyDescent="0.2">
      <c r="A461" s="3" t="str">
        <f t="shared" si="60"/>
        <v>98/11/26</v>
      </c>
      <c r="B461" s="3" t="str">
        <f t="shared" si="61"/>
        <v>كالاهاي مصرفي</v>
      </c>
      <c r="C461" s="3" t="str">
        <f>"انبار مصرفي ZU1"</f>
        <v>انبار مصرفي ZU1</v>
      </c>
      <c r="D461" s="3" t="str">
        <f>"0204000878"</f>
        <v>0204000878</v>
      </c>
      <c r="E461" s="3" t="str">
        <f>"خار چشمي DIN471 M18 خارجي"</f>
        <v>خار چشمي DIN471 M18 خارجي</v>
      </c>
      <c r="F461" s="3" t="str">
        <f t="shared" si="62"/>
        <v>عدد</v>
      </c>
      <c r="G461" s="3">
        <v>30</v>
      </c>
      <c r="H461" s="5">
        <v>1200000</v>
      </c>
    </row>
    <row r="462" spans="1:8" ht="18.75" x14ac:dyDescent="0.2">
      <c r="A462" s="3" t="str">
        <f t="shared" si="60"/>
        <v>98/11/26</v>
      </c>
      <c r="B462" s="3" t="str">
        <f t="shared" si="61"/>
        <v>كالاهاي مصرفي</v>
      </c>
      <c r="C462" s="3" t="str">
        <f>"انبار مصرفي ZU1"</f>
        <v>انبار مصرفي ZU1</v>
      </c>
      <c r="D462" s="3" t="str">
        <f>"0206000526"</f>
        <v>0206000526</v>
      </c>
      <c r="E462" s="3" t="str">
        <f>"تبديل پلي اتيلن 125 *250 -16 اتمسفر - پي 100"</f>
        <v>تبديل پلي اتيلن 125 *250 -16 اتمسفر - پي 100</v>
      </c>
      <c r="F462" s="3" t="str">
        <f t="shared" si="62"/>
        <v>عدد</v>
      </c>
      <c r="G462" s="3">
        <v>1</v>
      </c>
      <c r="H462" s="5">
        <v>1200000</v>
      </c>
    </row>
    <row r="463" spans="1:8" ht="18.75" x14ac:dyDescent="0.2">
      <c r="A463" s="3" t="str">
        <f t="shared" si="60"/>
        <v>98/11/26</v>
      </c>
      <c r="B463" s="3" t="str">
        <f t="shared" si="61"/>
        <v>كالاهاي مصرفي</v>
      </c>
      <c r="C463" s="3" t="str">
        <f>"انبار مركزي ( عمومي )"</f>
        <v>انبار مركزي ( عمومي )</v>
      </c>
      <c r="D463" s="3" t="str">
        <f>"0206000851"</f>
        <v>0206000851</v>
      </c>
      <c r="E463" s="3" t="str">
        <f>"زانو پوليكا 4 اينچ 90 درجه"</f>
        <v>زانو پوليكا 4 اينچ 90 درجه</v>
      </c>
      <c r="F463" s="3" t="str">
        <f t="shared" si="62"/>
        <v>عدد</v>
      </c>
      <c r="G463" s="3">
        <v>10</v>
      </c>
      <c r="H463" s="5">
        <v>1200000</v>
      </c>
    </row>
    <row r="464" spans="1:8" ht="18.75" x14ac:dyDescent="0.2">
      <c r="A464" s="3" t="str">
        <f t="shared" si="60"/>
        <v>98/11/26</v>
      </c>
      <c r="B464" s="3" t="str">
        <f t="shared" si="61"/>
        <v>كالاهاي مصرفي</v>
      </c>
      <c r="C464" s="3" t="str">
        <f>"انبار مصرفي ZU1"</f>
        <v>انبار مصرفي ZU1</v>
      </c>
      <c r="D464" s="3" t="str">
        <f>"0213001008"</f>
        <v>0213001008</v>
      </c>
      <c r="E464" s="3" t="str">
        <f>"پيچ استنلس استيل  60 * M5"</f>
        <v>پيچ استنلس استيل  60 * M5</v>
      </c>
      <c r="F464" s="3" t="str">
        <f t="shared" si="62"/>
        <v>عدد</v>
      </c>
      <c r="G464" s="3">
        <v>200</v>
      </c>
      <c r="H464" s="5">
        <v>1200000</v>
      </c>
    </row>
    <row r="465" spans="1:8" ht="18.75" x14ac:dyDescent="0.2">
      <c r="A465" s="3" t="str">
        <f t="shared" si="60"/>
        <v>98/11/26</v>
      </c>
      <c r="B465" s="3" t="str">
        <f t="shared" si="61"/>
        <v>كالاهاي مصرفي</v>
      </c>
      <c r="C465" s="3" t="str">
        <f>"انبار مصرفي ZU1"</f>
        <v>انبار مصرفي ZU1</v>
      </c>
      <c r="D465" s="3" t="str">
        <f>"0204000526"</f>
        <v>0204000526</v>
      </c>
      <c r="E465" s="3" t="str">
        <f>"بيرينگ استيل 6306"</f>
        <v>بيرينگ استيل 6306</v>
      </c>
      <c r="F465" s="3" t="str">
        <f t="shared" si="62"/>
        <v>عدد</v>
      </c>
      <c r="G465" s="3">
        <v>6</v>
      </c>
      <c r="H465" s="5">
        <v>1207500</v>
      </c>
    </row>
    <row r="466" spans="1:8" ht="18.75" x14ac:dyDescent="0.2">
      <c r="A466" s="3" t="str">
        <f t="shared" si="60"/>
        <v>98/11/26</v>
      </c>
      <c r="B466" s="3" t="str">
        <f t="shared" si="61"/>
        <v>كالاهاي مصرفي</v>
      </c>
      <c r="C466" s="3" t="str">
        <f>"انبار مركزي ( عمومي )"</f>
        <v>انبار مركزي ( عمومي )</v>
      </c>
      <c r="D466" s="3" t="str">
        <f>"0105000008"</f>
        <v>0105000008</v>
      </c>
      <c r="E466" s="3" t="str">
        <f>"اسپري روغني"</f>
        <v>اسپري روغني</v>
      </c>
      <c r="F466" s="3" t="str">
        <f t="shared" si="62"/>
        <v>عدد</v>
      </c>
      <c r="G466" s="3">
        <v>17</v>
      </c>
      <c r="H466" s="5">
        <v>1208107</v>
      </c>
    </row>
    <row r="467" spans="1:8" ht="18.75" x14ac:dyDescent="0.2">
      <c r="A467" s="3" t="str">
        <f t="shared" si="60"/>
        <v>98/11/26</v>
      </c>
      <c r="B467" s="3" t="str">
        <f t="shared" si="61"/>
        <v>كالاهاي مصرفي</v>
      </c>
      <c r="C467" s="3" t="str">
        <f>"انبار مصرفي ZU1"</f>
        <v>انبار مصرفي ZU1</v>
      </c>
      <c r="D467" s="3" t="str">
        <f>"0213001012"</f>
        <v>0213001012</v>
      </c>
      <c r="E467" s="3" t="str">
        <f>"پيچ استنلس استيل M8*50"</f>
        <v>پيچ استنلس استيل M8*50</v>
      </c>
      <c r="F467" s="3" t="str">
        <f t="shared" si="62"/>
        <v>عدد</v>
      </c>
      <c r="G467" s="3">
        <v>194</v>
      </c>
      <c r="H467" s="5">
        <v>1222200</v>
      </c>
    </row>
    <row r="468" spans="1:8" ht="18.75" x14ac:dyDescent="0.2">
      <c r="A468" s="3" t="str">
        <f t="shared" si="60"/>
        <v>98/11/26</v>
      </c>
      <c r="B468" s="3" t="str">
        <f t="shared" si="61"/>
        <v>كالاهاي مصرفي</v>
      </c>
      <c r="C468" s="3" t="str">
        <f>"انبار مصرفي ZU1"</f>
        <v>انبار مصرفي ZU1</v>
      </c>
      <c r="D468" s="3" t="str">
        <f>"0204001260"</f>
        <v>0204001260</v>
      </c>
      <c r="E468" s="3" t="str">
        <f>"كاسه نمد 13 *150 * 120"</f>
        <v>كاسه نمد 13 *150 * 120</v>
      </c>
      <c r="F468" s="3" t="str">
        <f t="shared" si="62"/>
        <v>عدد</v>
      </c>
      <c r="G468" s="3">
        <v>2</v>
      </c>
      <c r="H468" s="5">
        <v>1223200</v>
      </c>
    </row>
    <row r="469" spans="1:8" ht="18.75" x14ac:dyDescent="0.2">
      <c r="A469" s="3" t="str">
        <f t="shared" si="60"/>
        <v>98/11/26</v>
      </c>
      <c r="B469" s="3" t="str">
        <f t="shared" si="61"/>
        <v>كالاهاي مصرفي</v>
      </c>
      <c r="C469" s="3" t="str">
        <f>"انبار مركزي ( عمومي )"</f>
        <v>انبار مركزي ( عمومي )</v>
      </c>
      <c r="D469" s="3" t="str">
        <f>"0206000164"</f>
        <v>0206000164</v>
      </c>
      <c r="E469" s="3" t="str">
        <f>"مخزن آبسرد كن دو منظوره"</f>
        <v>مخزن آبسرد كن دو منظوره</v>
      </c>
      <c r="F469" s="3" t="str">
        <f>"گالن"</f>
        <v>گالن</v>
      </c>
      <c r="G469" s="3">
        <v>5</v>
      </c>
      <c r="H469" s="5">
        <v>1250000</v>
      </c>
    </row>
    <row r="470" spans="1:8" ht="18.75" x14ac:dyDescent="0.2">
      <c r="A470" s="3" t="str">
        <f t="shared" si="60"/>
        <v>98/11/26</v>
      </c>
      <c r="B470" s="3" t="str">
        <f t="shared" si="61"/>
        <v>كالاهاي مصرفي</v>
      </c>
      <c r="C470" s="3" t="str">
        <f t="shared" ref="C470:C478" si="63">"انبار مصرفي ZU1"</f>
        <v>انبار مصرفي ZU1</v>
      </c>
      <c r="D470" s="3" t="str">
        <f>"0213000562"</f>
        <v>0213000562</v>
      </c>
      <c r="E470" s="3" t="str">
        <f>"پيچ استنلس استيل100 *12"</f>
        <v>پيچ استنلس استيل100 *12</v>
      </c>
      <c r="F470" s="3" t="str">
        <f t="shared" ref="F470:F479" si="64">"عدد"</f>
        <v>عدد</v>
      </c>
      <c r="G470" s="3">
        <v>46</v>
      </c>
      <c r="H470" s="5">
        <v>1255800</v>
      </c>
    </row>
    <row r="471" spans="1:8" ht="18.75" x14ac:dyDescent="0.2">
      <c r="A471" s="3" t="str">
        <f t="shared" si="60"/>
        <v>98/11/26</v>
      </c>
      <c r="B471" s="3" t="str">
        <f t="shared" si="61"/>
        <v>كالاهاي مصرفي</v>
      </c>
      <c r="C471" s="3" t="str">
        <f t="shared" si="63"/>
        <v>انبار مصرفي ZU1</v>
      </c>
      <c r="D471" s="3" t="str">
        <f>"0204000867"</f>
        <v>0204000867</v>
      </c>
      <c r="E471" s="3" t="str">
        <f>"کاسه نمد 13*125*90"</f>
        <v>کاسه نمد 13*125*90</v>
      </c>
      <c r="F471" s="3" t="str">
        <f t="shared" si="64"/>
        <v>عدد</v>
      </c>
      <c r="G471" s="3">
        <v>12</v>
      </c>
      <c r="H471" s="5">
        <v>1258776</v>
      </c>
    </row>
    <row r="472" spans="1:8" ht="18.75" x14ac:dyDescent="0.2">
      <c r="A472" s="3" t="str">
        <f t="shared" si="60"/>
        <v>98/11/26</v>
      </c>
      <c r="B472" s="3" t="str">
        <f t="shared" si="61"/>
        <v>كالاهاي مصرفي</v>
      </c>
      <c r="C472" s="3" t="str">
        <f t="shared" si="63"/>
        <v>انبار مصرفي ZU1</v>
      </c>
      <c r="D472" s="3" t="str">
        <f>"0206000511"</f>
        <v>0206000511</v>
      </c>
      <c r="E472" s="3" t="str">
        <f>"فلنج پلي اتيلن 180 - 16 اتمسفر - پي 100"</f>
        <v>فلنج پلي اتيلن 180 - 16 اتمسفر - پي 100</v>
      </c>
      <c r="F472" s="3" t="str">
        <f t="shared" si="64"/>
        <v>عدد</v>
      </c>
      <c r="G472" s="3">
        <v>1</v>
      </c>
      <c r="H472" s="5">
        <v>1259667</v>
      </c>
    </row>
    <row r="473" spans="1:8" ht="18.75" x14ac:dyDescent="0.2">
      <c r="A473" s="3" t="str">
        <f t="shared" si="60"/>
        <v>98/11/26</v>
      </c>
      <c r="B473" s="3" t="str">
        <f t="shared" si="61"/>
        <v>كالاهاي مصرفي</v>
      </c>
      <c r="C473" s="3" t="str">
        <f t="shared" si="63"/>
        <v>انبار مصرفي ZU1</v>
      </c>
      <c r="D473" s="3" t="str">
        <f>"0204000289"</f>
        <v>0204000289</v>
      </c>
      <c r="E473" s="3" t="str">
        <f>"كاسه نمد13*125*100"</f>
        <v>كاسه نمد13*125*100</v>
      </c>
      <c r="F473" s="3" t="str">
        <f t="shared" si="64"/>
        <v>عدد</v>
      </c>
      <c r="G473" s="3">
        <v>3</v>
      </c>
      <c r="H473" s="5">
        <v>1260000</v>
      </c>
    </row>
    <row r="474" spans="1:8" ht="18.75" x14ac:dyDescent="0.2">
      <c r="A474" s="3" t="str">
        <f t="shared" si="60"/>
        <v>98/11/26</v>
      </c>
      <c r="B474" s="3" t="str">
        <f t="shared" si="61"/>
        <v>كالاهاي مصرفي</v>
      </c>
      <c r="C474" s="3" t="str">
        <f t="shared" si="63"/>
        <v>انبار مصرفي ZU1</v>
      </c>
      <c r="D474" s="3" t="str">
        <f>"0204000938"</f>
        <v>0204000938</v>
      </c>
      <c r="E474" s="3" t="str">
        <f>"خار چشمي DIN471 M80 خارجي"</f>
        <v>خار چشمي DIN471 M80 خارجي</v>
      </c>
      <c r="F474" s="3" t="str">
        <f t="shared" si="64"/>
        <v>عدد</v>
      </c>
      <c r="G474" s="3">
        <v>30</v>
      </c>
      <c r="H474" s="5">
        <v>1272500</v>
      </c>
    </row>
    <row r="475" spans="1:8" ht="18.75" x14ac:dyDescent="0.2">
      <c r="A475" s="3" t="str">
        <f t="shared" si="60"/>
        <v>98/11/26</v>
      </c>
      <c r="B475" s="3" t="str">
        <f t="shared" si="61"/>
        <v>كالاهاي مصرفي</v>
      </c>
      <c r="C475" s="3" t="str">
        <f t="shared" si="63"/>
        <v>انبار مصرفي ZU1</v>
      </c>
      <c r="D475" s="3" t="str">
        <f>"0203000150"</f>
        <v>0203000150</v>
      </c>
      <c r="E475" s="3" t="str">
        <f>"چكش (ميخ كش نجاري)"</f>
        <v>چكش (ميخ كش نجاري)</v>
      </c>
      <c r="F475" s="3" t="str">
        <f t="shared" si="64"/>
        <v>عدد</v>
      </c>
      <c r="G475" s="3">
        <v>5</v>
      </c>
      <c r="H475" s="5">
        <v>1275000</v>
      </c>
    </row>
    <row r="476" spans="1:8" ht="18.75" x14ac:dyDescent="0.2">
      <c r="A476" s="3" t="str">
        <f t="shared" si="60"/>
        <v>98/11/26</v>
      </c>
      <c r="B476" s="3" t="str">
        <f t="shared" si="61"/>
        <v>كالاهاي مصرفي</v>
      </c>
      <c r="C476" s="3" t="str">
        <f t="shared" si="63"/>
        <v>انبار مصرفي ZU1</v>
      </c>
      <c r="D476" s="3" t="str">
        <f>"0204000584"</f>
        <v>0204000584</v>
      </c>
      <c r="E476" s="3" t="str">
        <f>"بيرينگ NU308- ECM"</f>
        <v>بيرينگ NU308- ECM</v>
      </c>
      <c r="F476" s="3" t="str">
        <f t="shared" si="64"/>
        <v>عدد</v>
      </c>
      <c r="G476" s="3">
        <v>1</v>
      </c>
      <c r="H476" s="5">
        <v>1275000</v>
      </c>
    </row>
    <row r="477" spans="1:8" ht="18.75" x14ac:dyDescent="0.2">
      <c r="A477" s="3" t="str">
        <f t="shared" si="60"/>
        <v>98/11/26</v>
      </c>
      <c r="B477" s="3" t="str">
        <f t="shared" si="61"/>
        <v>كالاهاي مصرفي</v>
      </c>
      <c r="C477" s="3" t="str">
        <f t="shared" si="63"/>
        <v>انبار مصرفي ZU1</v>
      </c>
      <c r="D477" s="3" t="str">
        <f>"0204000728"</f>
        <v>0204000728</v>
      </c>
      <c r="E477" s="3" t="str">
        <f>"كاسه نمد Mild Steel 65*48*10 AIB"</f>
        <v>كاسه نمد Mild Steel 65*48*10 AIB</v>
      </c>
      <c r="F477" s="3" t="str">
        <f t="shared" si="64"/>
        <v>عدد</v>
      </c>
      <c r="G477" s="3">
        <v>5</v>
      </c>
      <c r="H477" s="5">
        <v>1275000</v>
      </c>
    </row>
    <row r="478" spans="1:8" ht="18.75" x14ac:dyDescent="0.2">
      <c r="A478" s="3" t="str">
        <f t="shared" si="60"/>
        <v>98/11/26</v>
      </c>
      <c r="B478" s="3" t="str">
        <f t="shared" si="61"/>
        <v>كالاهاي مصرفي</v>
      </c>
      <c r="C478" s="3" t="str">
        <f t="shared" si="63"/>
        <v>انبار مصرفي ZU1</v>
      </c>
      <c r="D478" s="3" t="str">
        <f>"0204001039"</f>
        <v>0204001039</v>
      </c>
      <c r="E478" s="3" t="str">
        <f>"واشر اورينگ رزينيNBR 63( -1) X 3"</f>
        <v>واشر اورينگ رزينيNBR 63( -1) X 3</v>
      </c>
      <c r="F478" s="3" t="str">
        <f t="shared" si="64"/>
        <v>عدد</v>
      </c>
      <c r="G478" s="3">
        <v>16</v>
      </c>
      <c r="H478" s="5">
        <v>1280000</v>
      </c>
    </row>
    <row r="479" spans="1:8" ht="18.75" x14ac:dyDescent="0.2">
      <c r="A479" s="3" t="str">
        <f t="shared" si="60"/>
        <v>98/11/26</v>
      </c>
      <c r="B479" s="3" t="str">
        <f t="shared" si="61"/>
        <v>كالاهاي مصرفي</v>
      </c>
      <c r="C479" s="3" t="str">
        <f>"انبار مركزي ( عمومي )"</f>
        <v>انبار مركزي ( عمومي )</v>
      </c>
      <c r="D479" s="3" t="str">
        <f>"0211002128"</f>
        <v>0211002128</v>
      </c>
      <c r="E479" s="3" t="str">
        <f>"لامپ  كم مصرف 30w"</f>
        <v>لامپ  كم مصرف 30w</v>
      </c>
      <c r="F479" s="3" t="str">
        <f t="shared" si="64"/>
        <v>عدد</v>
      </c>
      <c r="G479" s="3">
        <v>5</v>
      </c>
      <c r="H479" s="5">
        <v>1300000</v>
      </c>
    </row>
    <row r="480" spans="1:8" ht="18.75" x14ac:dyDescent="0.2">
      <c r="A480" s="3" t="str">
        <f t="shared" si="60"/>
        <v>98/11/26</v>
      </c>
      <c r="B480" s="3" t="str">
        <f t="shared" si="61"/>
        <v>كالاهاي مصرفي</v>
      </c>
      <c r="C480" s="3" t="str">
        <f>"انبار مصرفي ZU1"</f>
        <v>انبار مصرفي ZU1</v>
      </c>
      <c r="D480" s="3" t="str">
        <f>"0106000192"</f>
        <v>0106000192</v>
      </c>
      <c r="E480" s="3" t="str">
        <f>"گريس 200گرمي poly plus"</f>
        <v>گريس 200گرمي poly plus</v>
      </c>
      <c r="F480" s="3" t="str">
        <f>"قوطي"</f>
        <v>قوطي</v>
      </c>
      <c r="G480" s="3">
        <v>97</v>
      </c>
      <c r="H480" s="5">
        <v>1309500</v>
      </c>
    </row>
    <row r="481" spans="1:8" ht="18.75" x14ac:dyDescent="0.2">
      <c r="A481" s="3" t="str">
        <f t="shared" si="60"/>
        <v>98/11/26</v>
      </c>
      <c r="B481" s="3" t="str">
        <f t="shared" si="61"/>
        <v>كالاهاي مصرفي</v>
      </c>
      <c r="C481" s="3" t="str">
        <f>"انبار مركزي ( عمومي )"</f>
        <v>انبار مركزي ( عمومي )</v>
      </c>
      <c r="D481" s="3" t="str">
        <f>"0906000412"</f>
        <v>0906000412</v>
      </c>
      <c r="E481" s="3" t="str">
        <f>"پايه سقفي ويدئو پروژکتور Scope"</f>
        <v>پايه سقفي ويدئو پروژکتور Scope</v>
      </c>
      <c r="F481" s="3" t="str">
        <f t="shared" ref="F481:F499" si="65">"عدد"</f>
        <v>عدد</v>
      </c>
      <c r="G481" s="3">
        <v>2</v>
      </c>
      <c r="H481" s="5">
        <v>1311000</v>
      </c>
    </row>
    <row r="482" spans="1:8" ht="18.75" x14ac:dyDescent="0.2">
      <c r="A482" s="3" t="str">
        <f t="shared" si="60"/>
        <v>98/11/26</v>
      </c>
      <c r="B482" s="3" t="str">
        <f t="shared" si="61"/>
        <v>كالاهاي مصرفي</v>
      </c>
      <c r="C482" s="3" t="str">
        <f>"انبار مصرفي ZU1"</f>
        <v>انبار مصرفي ZU1</v>
      </c>
      <c r="D482" s="3" t="str">
        <f>"0204000531"</f>
        <v>0204000531</v>
      </c>
      <c r="E482" s="3" t="str">
        <f>"بيرينگ 6003"</f>
        <v>بيرينگ 6003</v>
      </c>
      <c r="F482" s="3" t="str">
        <f t="shared" si="65"/>
        <v>عدد</v>
      </c>
      <c r="G482" s="3">
        <v>22</v>
      </c>
      <c r="H482" s="5">
        <v>1320000</v>
      </c>
    </row>
    <row r="483" spans="1:8" ht="18.75" x14ac:dyDescent="0.2">
      <c r="A483" s="3" t="str">
        <f t="shared" si="60"/>
        <v>98/11/26</v>
      </c>
      <c r="B483" s="3" t="str">
        <f t="shared" si="61"/>
        <v>كالاهاي مصرفي</v>
      </c>
      <c r="C483" s="3" t="str">
        <f>"انبار مركزي ( عمومي )"</f>
        <v>انبار مركزي ( عمومي )</v>
      </c>
      <c r="D483" s="3" t="str">
        <f>"0102000081"</f>
        <v>0102000081</v>
      </c>
      <c r="E483" s="3" t="str">
        <f>"رنگ اسپري"</f>
        <v>رنگ اسپري</v>
      </c>
      <c r="F483" s="3" t="str">
        <f t="shared" si="65"/>
        <v>عدد</v>
      </c>
      <c r="G483" s="3">
        <v>5</v>
      </c>
      <c r="H483" s="5">
        <v>1330000</v>
      </c>
    </row>
    <row r="484" spans="1:8" ht="18.75" x14ac:dyDescent="0.2">
      <c r="A484" s="3" t="str">
        <f t="shared" si="60"/>
        <v>98/11/26</v>
      </c>
      <c r="B484" s="3" t="str">
        <f t="shared" si="61"/>
        <v>كالاهاي مصرفي</v>
      </c>
      <c r="C484" s="3" t="str">
        <f>"انبار مصرفي ZU1"</f>
        <v>انبار مصرفي ZU1</v>
      </c>
      <c r="D484" s="3" t="str">
        <f>"0204001481"</f>
        <v>0204001481</v>
      </c>
      <c r="E484" s="3" t="str">
        <f>"كاسه نمد  10*40*60"</f>
        <v>كاسه نمد  10*40*60</v>
      </c>
      <c r="F484" s="3" t="str">
        <f t="shared" si="65"/>
        <v>عدد</v>
      </c>
      <c r="G484" s="3">
        <v>14</v>
      </c>
      <c r="H484" s="5">
        <v>1330000</v>
      </c>
    </row>
    <row r="485" spans="1:8" ht="18.75" x14ac:dyDescent="0.2">
      <c r="A485" s="3" t="str">
        <f t="shared" si="60"/>
        <v>98/11/26</v>
      </c>
      <c r="B485" s="3" t="str">
        <f t="shared" si="61"/>
        <v>كالاهاي مصرفي</v>
      </c>
      <c r="C485" s="3" t="str">
        <f>"انبار مصرفي ZU1"</f>
        <v>انبار مصرفي ZU1</v>
      </c>
      <c r="D485" s="3" t="str">
        <f>"0204000304"</f>
        <v>0204000304</v>
      </c>
      <c r="E485" s="3" t="str">
        <f>"كاسه نمد 13*130*110"</f>
        <v>كاسه نمد 13*130*110</v>
      </c>
      <c r="F485" s="3" t="str">
        <f t="shared" si="65"/>
        <v>عدد</v>
      </c>
      <c r="G485" s="3">
        <v>3</v>
      </c>
      <c r="H485" s="5">
        <v>1350000</v>
      </c>
    </row>
    <row r="486" spans="1:8" ht="18.75" x14ac:dyDescent="0.2">
      <c r="A486" s="3" t="str">
        <f t="shared" si="60"/>
        <v>98/11/26</v>
      </c>
      <c r="B486" s="3" t="str">
        <f t="shared" si="61"/>
        <v>كالاهاي مصرفي</v>
      </c>
      <c r="C486" s="3" t="str">
        <f>"انبار مصرفي ZU1"</f>
        <v>انبار مصرفي ZU1</v>
      </c>
      <c r="D486" s="3" t="str">
        <f>"0204000639"</f>
        <v>0204000639</v>
      </c>
      <c r="E486" s="3" t="str">
        <f>"واشر اورينگ رزيني 3.6*(1-)56"</f>
        <v>واشر اورينگ رزيني 3.6*(1-)56</v>
      </c>
      <c r="F486" s="3" t="str">
        <f t="shared" si="65"/>
        <v>عدد</v>
      </c>
      <c r="G486" s="3">
        <v>30</v>
      </c>
      <c r="H486" s="5">
        <v>1350000</v>
      </c>
    </row>
    <row r="487" spans="1:8" ht="18.75" x14ac:dyDescent="0.2">
      <c r="A487" s="3" t="str">
        <f t="shared" si="60"/>
        <v>98/11/26</v>
      </c>
      <c r="B487" s="3" t="str">
        <f t="shared" si="61"/>
        <v>كالاهاي مصرفي</v>
      </c>
      <c r="C487" s="3" t="str">
        <f>"انبار مركزي ( عمومي )"</f>
        <v>انبار مركزي ( عمومي )</v>
      </c>
      <c r="D487" s="3" t="str">
        <f>"0601000074"</f>
        <v>0601000074</v>
      </c>
      <c r="E487" s="3" t="str">
        <f>"پيش بند ضد اسيد"</f>
        <v>پيش بند ضد اسيد</v>
      </c>
      <c r="F487" s="3" t="str">
        <f t="shared" si="65"/>
        <v>عدد</v>
      </c>
      <c r="G487" s="3">
        <v>3</v>
      </c>
      <c r="H487" s="5">
        <v>1350000</v>
      </c>
    </row>
    <row r="488" spans="1:8" ht="18.75" x14ac:dyDescent="0.2">
      <c r="A488" s="3" t="str">
        <f t="shared" si="60"/>
        <v>98/11/26</v>
      </c>
      <c r="B488" s="3" t="str">
        <f t="shared" si="61"/>
        <v>كالاهاي مصرفي</v>
      </c>
      <c r="C488" s="3" t="str">
        <f t="shared" ref="C488:C494" si="66">"انبار مصرفي ZU1"</f>
        <v>انبار مصرفي ZU1</v>
      </c>
      <c r="D488" s="3" t="str">
        <f>"0213000059"</f>
        <v>0213000059</v>
      </c>
      <c r="E488" s="3" t="str">
        <f>"واشر قفلي M36"</f>
        <v>واشر قفلي M36</v>
      </c>
      <c r="F488" s="3" t="str">
        <f t="shared" si="65"/>
        <v>عدد</v>
      </c>
      <c r="G488" s="3">
        <v>20</v>
      </c>
      <c r="H488" s="5">
        <v>1360000</v>
      </c>
    </row>
    <row r="489" spans="1:8" ht="18.75" x14ac:dyDescent="0.2">
      <c r="A489" s="3" t="str">
        <f t="shared" si="60"/>
        <v>98/11/26</v>
      </c>
      <c r="B489" s="3" t="str">
        <f t="shared" si="61"/>
        <v>كالاهاي مصرفي</v>
      </c>
      <c r="C489" s="3" t="str">
        <f t="shared" si="66"/>
        <v>انبار مصرفي ZU1</v>
      </c>
      <c r="D489" s="3" t="str">
        <f>"0213000204"</f>
        <v>0213000204</v>
      </c>
      <c r="E489" s="3" t="str">
        <f>"واشر مسي M40"</f>
        <v>واشر مسي M40</v>
      </c>
      <c r="F489" s="3" t="str">
        <f t="shared" si="65"/>
        <v>عدد</v>
      </c>
      <c r="G489" s="3">
        <v>80</v>
      </c>
      <c r="H489" s="5">
        <v>1368000</v>
      </c>
    </row>
    <row r="490" spans="1:8" ht="18.75" x14ac:dyDescent="0.2">
      <c r="A490" s="3" t="str">
        <f t="shared" si="60"/>
        <v>98/11/26</v>
      </c>
      <c r="B490" s="3" t="str">
        <f t="shared" si="61"/>
        <v>كالاهاي مصرفي</v>
      </c>
      <c r="C490" s="3" t="str">
        <f t="shared" si="66"/>
        <v>انبار مصرفي ZU1</v>
      </c>
      <c r="D490" s="3" t="str">
        <f>"0213000942"</f>
        <v>0213000942</v>
      </c>
      <c r="E490" s="3" t="str">
        <f>"پيچ تمام رزوه M16*130"</f>
        <v>پيچ تمام رزوه M16*130</v>
      </c>
      <c r="F490" s="3" t="str">
        <f t="shared" si="65"/>
        <v>عدد</v>
      </c>
      <c r="G490" s="3">
        <v>75</v>
      </c>
      <c r="H490" s="5">
        <v>1377000</v>
      </c>
    </row>
    <row r="491" spans="1:8" ht="18.75" x14ac:dyDescent="0.2">
      <c r="A491" s="3" t="str">
        <f t="shared" si="60"/>
        <v>98/11/26</v>
      </c>
      <c r="B491" s="3" t="str">
        <f t="shared" si="61"/>
        <v>كالاهاي مصرفي</v>
      </c>
      <c r="C491" s="3" t="str">
        <f t="shared" si="66"/>
        <v>انبار مصرفي ZU1</v>
      </c>
      <c r="D491" s="3" t="str">
        <f>"0204000385"</f>
        <v>0204000385</v>
      </c>
      <c r="E491" s="3" t="str">
        <f>"بيرينگ6307"</f>
        <v>بيرينگ6307</v>
      </c>
      <c r="F491" s="3" t="str">
        <f t="shared" si="65"/>
        <v>عدد</v>
      </c>
      <c r="G491" s="3">
        <v>6</v>
      </c>
      <c r="H491" s="5">
        <v>1380000</v>
      </c>
    </row>
    <row r="492" spans="1:8" ht="18.75" x14ac:dyDescent="0.2">
      <c r="A492" s="3" t="str">
        <f t="shared" si="60"/>
        <v>98/11/26</v>
      </c>
      <c r="B492" s="3" t="str">
        <f t="shared" si="61"/>
        <v>كالاهاي مصرفي</v>
      </c>
      <c r="C492" s="3" t="str">
        <f t="shared" si="66"/>
        <v>انبار مصرفي ZU1</v>
      </c>
      <c r="D492" s="3" t="str">
        <f>"0204000919"</f>
        <v>0204000919</v>
      </c>
      <c r="E492" s="3" t="str">
        <f>"خار چشمي DIN472 M52 داخلي"</f>
        <v>خار چشمي DIN472 M52 داخلي</v>
      </c>
      <c r="F492" s="3" t="str">
        <f t="shared" si="65"/>
        <v>عدد</v>
      </c>
      <c r="G492" s="3">
        <v>40</v>
      </c>
      <c r="H492" s="5">
        <v>1389000</v>
      </c>
    </row>
    <row r="493" spans="1:8" ht="18.75" x14ac:dyDescent="0.2">
      <c r="A493" s="3" t="str">
        <f t="shared" si="60"/>
        <v>98/11/26</v>
      </c>
      <c r="B493" s="3" t="str">
        <f t="shared" si="61"/>
        <v>كالاهاي مصرفي</v>
      </c>
      <c r="C493" s="3" t="str">
        <f t="shared" si="66"/>
        <v>انبار مصرفي ZU1</v>
      </c>
      <c r="D493" s="3" t="str">
        <f>"0204001880"</f>
        <v>0204001880</v>
      </c>
      <c r="E493" s="3" t="str">
        <f>"كاسه نمد Mild Steel 110*140*4 AIA"</f>
        <v>كاسه نمد Mild Steel 110*140*4 AIA</v>
      </c>
      <c r="F493" s="3" t="str">
        <f t="shared" si="65"/>
        <v>عدد</v>
      </c>
      <c r="G493" s="3">
        <v>10</v>
      </c>
      <c r="H493" s="5">
        <v>1390000</v>
      </c>
    </row>
    <row r="494" spans="1:8" ht="18.75" x14ac:dyDescent="0.2">
      <c r="A494" s="3" t="str">
        <f t="shared" si="60"/>
        <v>98/11/26</v>
      </c>
      <c r="B494" s="3" t="str">
        <f t="shared" si="61"/>
        <v>كالاهاي مصرفي</v>
      </c>
      <c r="C494" s="3" t="str">
        <f t="shared" si="66"/>
        <v>انبار مصرفي ZU1</v>
      </c>
      <c r="D494" s="3" t="str">
        <f>"0202000089"</f>
        <v>0202000089</v>
      </c>
      <c r="E494" s="3" t="str">
        <f>"چراغ قوه جيبي"</f>
        <v>چراغ قوه جيبي</v>
      </c>
      <c r="F494" s="3" t="str">
        <f t="shared" si="65"/>
        <v>عدد</v>
      </c>
      <c r="G494" s="3">
        <v>2</v>
      </c>
      <c r="H494" s="5">
        <v>1390295</v>
      </c>
    </row>
    <row r="495" spans="1:8" ht="18.75" x14ac:dyDescent="0.2">
      <c r="A495" s="3" t="str">
        <f t="shared" si="60"/>
        <v>98/11/26</v>
      </c>
      <c r="B495" s="3" t="str">
        <f t="shared" si="61"/>
        <v>كالاهاي مصرفي</v>
      </c>
      <c r="C495" s="3" t="str">
        <f>"انبار مركزي ( عمومي )"</f>
        <v>انبار مركزي ( عمومي )</v>
      </c>
      <c r="D495" s="3" t="str">
        <f>"0213000771"</f>
        <v>0213000771</v>
      </c>
      <c r="E495" s="3" t="str">
        <f>"مته الماسه معمولي نمره 8"</f>
        <v>مته الماسه معمولي نمره 8</v>
      </c>
      <c r="F495" s="3" t="str">
        <f t="shared" si="65"/>
        <v>عدد</v>
      </c>
      <c r="G495" s="3">
        <v>14</v>
      </c>
      <c r="H495" s="5">
        <v>1394132</v>
      </c>
    </row>
    <row r="496" spans="1:8" ht="18.75" x14ac:dyDescent="0.2">
      <c r="A496" s="3" t="str">
        <f t="shared" si="60"/>
        <v>98/11/26</v>
      </c>
      <c r="B496" s="3" t="str">
        <f t="shared" si="61"/>
        <v>كالاهاي مصرفي</v>
      </c>
      <c r="C496" s="3" t="str">
        <f>"انبار مصرفي ZU1"</f>
        <v>انبار مصرفي ZU1</v>
      </c>
      <c r="D496" s="3" t="str">
        <f>"0204001034"</f>
        <v>0204001034</v>
      </c>
      <c r="E496" s="3" t="str">
        <f>"واشر اورينگ رزينيNBR 86( -2) X 3.5"</f>
        <v>واشر اورينگ رزينيNBR 86( -2) X 3.5</v>
      </c>
      <c r="F496" s="3" t="str">
        <f t="shared" si="65"/>
        <v>عدد</v>
      </c>
      <c r="G496" s="3">
        <v>20</v>
      </c>
      <c r="H496" s="5">
        <v>1400000</v>
      </c>
    </row>
    <row r="497" spans="1:8" ht="18.75" x14ac:dyDescent="0.2">
      <c r="A497" s="3" t="str">
        <f t="shared" si="60"/>
        <v>98/11/26</v>
      </c>
      <c r="B497" s="3" t="str">
        <f t="shared" si="61"/>
        <v>كالاهاي مصرفي</v>
      </c>
      <c r="C497" s="3" t="str">
        <f>"انبار مصرفي ZU1"</f>
        <v>انبار مصرفي ZU1</v>
      </c>
      <c r="D497" s="3" t="str">
        <f>"0209000406"</f>
        <v>0209000406</v>
      </c>
      <c r="E497" s="3" t="str">
        <f>"صفحه چرخ دنده دمپر تهويه"</f>
        <v>صفحه چرخ دنده دمپر تهويه</v>
      </c>
      <c r="F497" s="3" t="str">
        <f t="shared" si="65"/>
        <v>عدد</v>
      </c>
      <c r="G497" s="3">
        <v>80</v>
      </c>
      <c r="H497" s="5">
        <v>1400000</v>
      </c>
    </row>
    <row r="498" spans="1:8" ht="18.75" x14ac:dyDescent="0.2">
      <c r="A498" s="3" t="str">
        <f t="shared" si="60"/>
        <v>98/11/26</v>
      </c>
      <c r="B498" s="3" t="str">
        <f t="shared" si="61"/>
        <v>كالاهاي مصرفي</v>
      </c>
      <c r="C498" s="3" t="str">
        <f>"انبار مصرفي ZU1"</f>
        <v>انبار مصرفي ZU1</v>
      </c>
      <c r="D498" s="3" t="str">
        <f>"0211001747"</f>
        <v>0211001747</v>
      </c>
      <c r="E498" s="3" t="str">
        <f>"شيم پليت ضخامت 0/7 به ابعاد 125 *125"</f>
        <v>شيم پليت ضخامت 0/7 به ابعاد 125 *125</v>
      </c>
      <c r="F498" s="3" t="str">
        <f t="shared" si="65"/>
        <v>عدد</v>
      </c>
      <c r="G498" s="3">
        <v>4</v>
      </c>
      <c r="H498" s="5">
        <v>1400000</v>
      </c>
    </row>
    <row r="499" spans="1:8" ht="18.75" x14ac:dyDescent="0.2">
      <c r="A499" s="3" t="str">
        <f t="shared" si="60"/>
        <v>98/11/26</v>
      </c>
      <c r="B499" s="3" t="str">
        <f t="shared" si="61"/>
        <v>كالاهاي مصرفي</v>
      </c>
      <c r="C499" s="3" t="str">
        <f>"انبار مصرفي ZU1"</f>
        <v>انبار مصرفي ZU1</v>
      </c>
      <c r="D499" s="3" t="str">
        <f>"0204000934"</f>
        <v>0204000934</v>
      </c>
      <c r="E499" s="3" t="str">
        <f>"خار چشمي DIN471 M72 خارجي"</f>
        <v>خار چشمي DIN471 M72 خارجي</v>
      </c>
      <c r="F499" s="3" t="str">
        <f t="shared" si="65"/>
        <v>عدد</v>
      </c>
      <c r="G499" s="3">
        <v>30</v>
      </c>
      <c r="H499" s="5">
        <v>1424000</v>
      </c>
    </row>
    <row r="500" spans="1:8" ht="18.75" x14ac:dyDescent="0.2">
      <c r="A500" s="3" t="str">
        <f t="shared" si="60"/>
        <v>98/11/26</v>
      </c>
      <c r="B500" s="3" t="str">
        <f t="shared" si="61"/>
        <v>كالاهاي مصرفي</v>
      </c>
      <c r="C500" s="3" t="str">
        <f>"انبار مصرفي ZU1"</f>
        <v>انبار مصرفي ZU1</v>
      </c>
      <c r="D500" s="3" t="str">
        <f>"0211000352"</f>
        <v>0211000352</v>
      </c>
      <c r="E500" s="3" t="str">
        <f>"سيم سربي ضخامت 1mm يك كيلويي"</f>
        <v>سيم سربي ضخامت 1mm يك كيلويي</v>
      </c>
      <c r="F500" s="3" t="str">
        <f>"کيلوگرم"</f>
        <v>کيلوگرم</v>
      </c>
      <c r="G500" s="3">
        <v>3</v>
      </c>
      <c r="H500" s="5">
        <v>1425000</v>
      </c>
    </row>
    <row r="501" spans="1:8" ht="18.75" x14ac:dyDescent="0.2">
      <c r="A501" s="3" t="str">
        <f t="shared" si="60"/>
        <v>98/11/26</v>
      </c>
      <c r="B501" s="3" t="str">
        <f t="shared" si="61"/>
        <v>كالاهاي مصرفي</v>
      </c>
      <c r="C501" s="3" t="str">
        <f>"انبار مركزي ( عمومي )"</f>
        <v>انبار مركزي ( عمومي )</v>
      </c>
      <c r="D501" s="3" t="str">
        <f>"0203000295"</f>
        <v>0203000295</v>
      </c>
      <c r="E501" s="3" t="str">
        <f>"قيچي برش لوله مويي"</f>
        <v>قيچي برش لوله مويي</v>
      </c>
      <c r="F501" s="3" t="str">
        <f>"عدد"</f>
        <v>عدد</v>
      </c>
      <c r="G501" s="3">
        <v>3</v>
      </c>
      <c r="H501" s="5">
        <v>1440000</v>
      </c>
    </row>
    <row r="502" spans="1:8" ht="18.75" x14ac:dyDescent="0.2">
      <c r="A502" s="3" t="str">
        <f t="shared" si="60"/>
        <v>98/11/26</v>
      </c>
      <c r="B502" s="3" t="str">
        <f t="shared" si="61"/>
        <v>كالاهاي مصرفي</v>
      </c>
      <c r="C502" s="3" t="str">
        <f>"انبار مصرفي ZU1"</f>
        <v>انبار مصرفي ZU1</v>
      </c>
      <c r="D502" s="3" t="str">
        <f>"0204000272"</f>
        <v>0204000272</v>
      </c>
      <c r="E502" s="3" t="str">
        <f>"واشر ويكتوري 3/. ميليمتر"</f>
        <v>واشر ويكتوري 3/. ميليمتر</v>
      </c>
      <c r="F502" s="3" t="str">
        <f>"متر"</f>
        <v>متر</v>
      </c>
      <c r="G502" s="3">
        <v>8</v>
      </c>
      <c r="H502" s="5">
        <v>1440000</v>
      </c>
    </row>
    <row r="503" spans="1:8" ht="18.75" x14ac:dyDescent="0.2">
      <c r="A503" s="3" t="str">
        <f t="shared" si="60"/>
        <v>98/11/26</v>
      </c>
      <c r="B503" s="3" t="str">
        <f t="shared" si="61"/>
        <v>كالاهاي مصرفي</v>
      </c>
      <c r="C503" s="3" t="str">
        <f>"انبار مركزي ( عمومي )"</f>
        <v>انبار مركزي ( عمومي )</v>
      </c>
      <c r="D503" s="3" t="str">
        <f>"0213000742"</f>
        <v>0213000742</v>
      </c>
      <c r="E503" s="3" t="str">
        <f>"مته آهن نمره 12"</f>
        <v>مته آهن نمره 12</v>
      </c>
      <c r="F503" s="3" t="str">
        <f>"عدد"</f>
        <v>عدد</v>
      </c>
      <c r="G503" s="3">
        <v>6</v>
      </c>
      <c r="H503" s="5">
        <v>1440000</v>
      </c>
    </row>
    <row r="504" spans="1:8" ht="18.75" x14ac:dyDescent="0.2">
      <c r="A504" s="3" t="str">
        <f t="shared" si="60"/>
        <v>98/11/26</v>
      </c>
      <c r="B504" s="3" t="str">
        <f t="shared" si="61"/>
        <v>كالاهاي مصرفي</v>
      </c>
      <c r="C504" s="3" t="str">
        <f>"انبار مركزي ( عمومي )"</f>
        <v>انبار مركزي ( عمومي )</v>
      </c>
      <c r="D504" s="3" t="str">
        <f>"0213000796"</f>
        <v>0213000796</v>
      </c>
      <c r="E504" s="3" t="str">
        <f>"پوسابP180 معمولي"</f>
        <v>پوسابP180 معمولي</v>
      </c>
      <c r="F504" s="3" t="str">
        <f>"بسته"</f>
        <v>بسته</v>
      </c>
      <c r="G504" s="3">
        <v>1</v>
      </c>
      <c r="H504" s="5">
        <v>1450000</v>
      </c>
    </row>
    <row r="505" spans="1:8" ht="18.75" x14ac:dyDescent="0.2">
      <c r="A505" s="3" t="str">
        <f t="shared" si="60"/>
        <v>98/11/26</v>
      </c>
      <c r="B505" s="3" t="str">
        <f t="shared" si="61"/>
        <v>كالاهاي مصرفي</v>
      </c>
      <c r="C505" s="3" t="str">
        <f>"انبار مركزي ( عمومي )"</f>
        <v>انبار مركزي ( عمومي )</v>
      </c>
      <c r="D505" s="3" t="str">
        <f>"0601000073"</f>
        <v>0601000073</v>
      </c>
      <c r="E505" s="3" t="str">
        <f>"دستكش عايق برق  5kv"</f>
        <v>دستكش عايق برق  5kv</v>
      </c>
      <c r="F505" s="3" t="str">
        <f>"جفت"</f>
        <v>جفت</v>
      </c>
      <c r="G505" s="3">
        <v>1</v>
      </c>
      <c r="H505" s="5">
        <v>1450000</v>
      </c>
    </row>
    <row r="506" spans="1:8" ht="18.75" x14ac:dyDescent="0.2">
      <c r="A506" s="3" t="str">
        <f t="shared" si="60"/>
        <v>98/11/26</v>
      </c>
      <c r="B506" s="3" t="str">
        <f t="shared" si="61"/>
        <v>كالاهاي مصرفي</v>
      </c>
      <c r="C506" s="3" t="str">
        <f>"انبار مصرفي ZU1"</f>
        <v>انبار مصرفي ZU1</v>
      </c>
      <c r="D506" s="3" t="str">
        <f>"0213000154"</f>
        <v>0213000154</v>
      </c>
      <c r="E506" s="3" t="str">
        <f>"پيچ دو سر رزوه M6*60"</f>
        <v>پيچ دو سر رزوه M6*60</v>
      </c>
      <c r="F506" s="3" t="str">
        <f>"عدد"</f>
        <v>عدد</v>
      </c>
      <c r="G506" s="3">
        <v>448</v>
      </c>
      <c r="H506" s="5">
        <v>1451520</v>
      </c>
    </row>
    <row r="507" spans="1:8" ht="18.75" x14ac:dyDescent="0.2">
      <c r="A507" s="3" t="str">
        <f t="shared" si="60"/>
        <v>98/11/26</v>
      </c>
      <c r="B507" s="3" t="str">
        <f t="shared" si="61"/>
        <v>كالاهاي مصرفي</v>
      </c>
      <c r="C507" s="3" t="str">
        <f>"انبار مصرفي ZU1"</f>
        <v>انبار مصرفي ZU1</v>
      </c>
      <c r="D507" s="3" t="str">
        <f>"0213000120"</f>
        <v>0213000120</v>
      </c>
      <c r="E507" s="3" t="str">
        <f>"واشر قفلي M8"</f>
        <v>واشر قفلي M8</v>
      </c>
      <c r="F507" s="3" t="str">
        <f>"عدد"</f>
        <v>عدد</v>
      </c>
      <c r="G507" s="3">
        <v>425</v>
      </c>
      <c r="H507" s="5">
        <v>1466250</v>
      </c>
    </row>
    <row r="508" spans="1:8" ht="18.75" x14ac:dyDescent="0.2">
      <c r="A508" s="3" t="str">
        <f t="shared" si="60"/>
        <v>98/11/26</v>
      </c>
      <c r="B508" s="3" t="str">
        <f t="shared" si="61"/>
        <v>كالاهاي مصرفي</v>
      </c>
      <c r="C508" s="3" t="str">
        <f>"انبار مصرفي ZU1"</f>
        <v>انبار مصرفي ZU1</v>
      </c>
      <c r="D508" s="3" t="str">
        <f>"0213000169"</f>
        <v>0213000169</v>
      </c>
      <c r="E508" s="3" t="str">
        <f>"واشر تخت M30"</f>
        <v>واشر تخت M30</v>
      </c>
      <c r="F508" s="3" t="str">
        <f>"عدد"</f>
        <v>عدد</v>
      </c>
      <c r="G508" s="3">
        <v>378</v>
      </c>
      <c r="H508" s="5">
        <v>1474200</v>
      </c>
    </row>
    <row r="509" spans="1:8" ht="18.75" x14ac:dyDescent="0.2">
      <c r="A509" s="3" t="str">
        <f t="shared" si="60"/>
        <v>98/11/26</v>
      </c>
      <c r="B509" s="3" t="str">
        <f t="shared" si="61"/>
        <v>كالاهاي مصرفي</v>
      </c>
      <c r="C509" s="3" t="str">
        <f>"انبار مصرفي ZU1"</f>
        <v>انبار مصرفي ZU1</v>
      </c>
      <c r="D509" s="3" t="str">
        <f>"0213000136"</f>
        <v>0213000136</v>
      </c>
      <c r="E509" s="3" t="str">
        <f>"پيچ M6*30"</f>
        <v>پيچ M6*30</v>
      </c>
      <c r="F509" s="3" t="str">
        <f>"عدد"</f>
        <v>عدد</v>
      </c>
      <c r="G509" s="3">
        <v>700</v>
      </c>
      <c r="H509" s="5">
        <v>1477845</v>
      </c>
    </row>
    <row r="510" spans="1:8" ht="18.75" x14ac:dyDescent="0.2">
      <c r="A510" s="3" t="str">
        <f t="shared" si="60"/>
        <v>98/11/26</v>
      </c>
      <c r="B510" s="3" t="str">
        <f t="shared" si="61"/>
        <v>كالاهاي مصرفي</v>
      </c>
      <c r="C510" s="3" t="str">
        <f>"انبار مركزي ( عمومي )"</f>
        <v>انبار مركزي ( عمومي )</v>
      </c>
      <c r="D510" s="3" t="str">
        <f>"0206000610"</f>
        <v>0206000610</v>
      </c>
      <c r="E510" s="3" t="str">
        <f>"بست كمربندي پلاستيكي 20 سانتي"</f>
        <v>بست كمربندي پلاستيكي 20 سانتي</v>
      </c>
      <c r="F510" s="3" t="str">
        <f>"بسته"</f>
        <v>بسته</v>
      </c>
      <c r="G510" s="3">
        <v>8</v>
      </c>
      <c r="H510" s="5">
        <v>1480000</v>
      </c>
    </row>
    <row r="511" spans="1:8" ht="18.75" x14ac:dyDescent="0.2">
      <c r="A511" s="3" t="str">
        <f t="shared" si="60"/>
        <v>98/11/26</v>
      </c>
      <c r="B511" s="3" t="str">
        <f t="shared" si="61"/>
        <v>كالاهاي مصرفي</v>
      </c>
      <c r="C511" s="3" t="str">
        <f>"انبار مصرفي ZU1"</f>
        <v>انبار مصرفي ZU1</v>
      </c>
      <c r="D511" s="3" t="str">
        <f>"0206000610"</f>
        <v>0206000610</v>
      </c>
      <c r="E511" s="3" t="str">
        <f>"بست كمربندي پلاستيكي 20 سانتي"</f>
        <v>بست كمربندي پلاستيكي 20 سانتي</v>
      </c>
      <c r="F511" s="3" t="str">
        <f>"بسته"</f>
        <v>بسته</v>
      </c>
      <c r="G511" s="3">
        <v>8</v>
      </c>
      <c r="H511" s="5">
        <v>1480000</v>
      </c>
    </row>
    <row r="512" spans="1:8" ht="18.75" x14ac:dyDescent="0.2">
      <c r="A512" s="3" t="str">
        <f t="shared" si="60"/>
        <v>98/11/26</v>
      </c>
      <c r="B512" s="3" t="str">
        <f t="shared" si="61"/>
        <v>كالاهاي مصرفي</v>
      </c>
      <c r="C512" s="3" t="str">
        <f>"انبار مصرفي ZU1"</f>
        <v>انبار مصرفي ZU1</v>
      </c>
      <c r="D512" s="3" t="str">
        <f>"0209000405"</f>
        <v>0209000405</v>
      </c>
      <c r="E512" s="3" t="str">
        <f>"چرخ دنده دمپر تهويه"</f>
        <v>چرخ دنده دمپر تهويه</v>
      </c>
      <c r="F512" s="3" t="str">
        <f>"عدد"</f>
        <v>عدد</v>
      </c>
      <c r="G512" s="3">
        <v>80</v>
      </c>
      <c r="H512" s="5">
        <v>1480000</v>
      </c>
    </row>
    <row r="513" spans="1:8" ht="18.75" x14ac:dyDescent="0.2">
      <c r="A513" s="3" t="str">
        <f t="shared" si="60"/>
        <v>98/11/26</v>
      </c>
      <c r="B513" s="3" t="str">
        <f t="shared" si="61"/>
        <v>كالاهاي مصرفي</v>
      </c>
      <c r="C513" s="3" t="str">
        <f>"انبار مصرفي ZU1"</f>
        <v>انبار مصرفي ZU1</v>
      </c>
      <c r="D513" s="3" t="str">
        <f>"0204001553"</f>
        <v>0204001553</v>
      </c>
      <c r="E513" s="3" t="str">
        <f>"اورينگ NBR ضخامت 3.5"</f>
        <v>اورينگ NBR ضخامت 3.5</v>
      </c>
      <c r="F513" s="3" t="str">
        <f>"متر"</f>
        <v>متر</v>
      </c>
      <c r="G513" s="3">
        <v>49</v>
      </c>
      <c r="H513" s="5">
        <v>1484000</v>
      </c>
    </row>
    <row r="514" spans="1:8" ht="18.75" x14ac:dyDescent="0.2">
      <c r="A514" s="3" t="str">
        <f t="shared" ref="A514:A577" si="67">"98/11/26"</f>
        <v>98/11/26</v>
      </c>
      <c r="B514" s="3" t="str">
        <f t="shared" ref="B514:B577" si="68">"كالاهاي مصرفي"</f>
        <v>كالاهاي مصرفي</v>
      </c>
      <c r="C514" s="3" t="str">
        <f>"انبار مصرفي ZU1"</f>
        <v>انبار مصرفي ZU1</v>
      </c>
      <c r="D514" s="3" t="str">
        <f>"0203000174"</f>
        <v>0203000174</v>
      </c>
      <c r="E514" s="3" t="str">
        <f>"پيچ گوشتي سر دريلي"</f>
        <v>پيچ گوشتي سر دريلي</v>
      </c>
      <c r="F514" s="3" t="str">
        <f>"عدد"</f>
        <v>عدد</v>
      </c>
      <c r="G514" s="3">
        <v>10</v>
      </c>
      <c r="H514" s="5">
        <v>1485000</v>
      </c>
    </row>
    <row r="515" spans="1:8" ht="18.75" x14ac:dyDescent="0.2">
      <c r="A515" s="3" t="str">
        <f t="shared" si="67"/>
        <v>98/11/26</v>
      </c>
      <c r="B515" s="3" t="str">
        <f t="shared" si="68"/>
        <v>كالاهاي مصرفي</v>
      </c>
      <c r="C515" s="3" t="str">
        <f>"انبار مركزي ( عمومي )"</f>
        <v>انبار مركزي ( عمومي )</v>
      </c>
      <c r="D515" s="3" t="str">
        <f>"0106000190"</f>
        <v>0106000190</v>
      </c>
      <c r="E515" s="3" t="str">
        <f>"روغن لحيم كاري"</f>
        <v>روغن لحيم كاري</v>
      </c>
      <c r="F515" s="3" t="str">
        <f>"قوطي"</f>
        <v>قوطي</v>
      </c>
      <c r="G515" s="3">
        <v>82</v>
      </c>
      <c r="H515" s="5">
        <v>1489801</v>
      </c>
    </row>
    <row r="516" spans="1:8" ht="18.75" x14ac:dyDescent="0.2">
      <c r="A516" s="3" t="str">
        <f t="shared" si="67"/>
        <v>98/11/26</v>
      </c>
      <c r="B516" s="3" t="str">
        <f t="shared" si="68"/>
        <v>كالاهاي مصرفي</v>
      </c>
      <c r="C516" s="3" t="str">
        <f>"انبار مركزي ( عمومي )"</f>
        <v>انبار مركزي ( عمومي )</v>
      </c>
      <c r="D516" s="3" t="str">
        <f>"0101000062"</f>
        <v>0101000062</v>
      </c>
      <c r="E516" s="3" t="str">
        <f>"سيم آرماتور بندي نمره 1"</f>
        <v>سيم آرماتور بندي نمره 1</v>
      </c>
      <c r="F516" s="3" t="str">
        <f>"کيلوگرم"</f>
        <v>کيلوگرم</v>
      </c>
      <c r="G516" s="3">
        <v>10</v>
      </c>
      <c r="H516" s="5">
        <v>1500000</v>
      </c>
    </row>
    <row r="517" spans="1:8" ht="18.75" x14ac:dyDescent="0.2">
      <c r="A517" s="3" t="str">
        <f t="shared" si="67"/>
        <v>98/11/26</v>
      </c>
      <c r="B517" s="3" t="str">
        <f t="shared" si="68"/>
        <v>كالاهاي مصرفي</v>
      </c>
      <c r="C517" s="3" t="str">
        <f>"انبار مصرفي ZU1"</f>
        <v>انبار مصرفي ZU1</v>
      </c>
      <c r="D517" s="3" t="str">
        <f>"0106000028"</f>
        <v>0106000028</v>
      </c>
      <c r="E517" s="3" t="str">
        <f>"گريس shell alvania R2"</f>
        <v>گريس shell alvania R2</v>
      </c>
      <c r="F517" s="3" t="str">
        <f>"کيلوگرم"</f>
        <v>کيلوگرم</v>
      </c>
      <c r="G517" s="3">
        <v>5</v>
      </c>
      <c r="H517" s="5">
        <v>1500000</v>
      </c>
    </row>
    <row r="518" spans="1:8" ht="18.75" x14ac:dyDescent="0.2">
      <c r="A518" s="3" t="str">
        <f t="shared" si="67"/>
        <v>98/11/26</v>
      </c>
      <c r="B518" s="3" t="str">
        <f t="shared" si="68"/>
        <v>كالاهاي مصرفي</v>
      </c>
      <c r="C518" s="3" t="str">
        <f>"انبار مركزي ( عمومي )"</f>
        <v>انبار مركزي ( عمومي )</v>
      </c>
      <c r="D518" s="3" t="str">
        <f>"0202000065"</f>
        <v>0202000065</v>
      </c>
      <c r="E518" s="3" t="str">
        <f>"سيفون روشوئي تك قلو"</f>
        <v>سيفون روشوئي تك قلو</v>
      </c>
      <c r="F518" s="3" t="str">
        <f t="shared" ref="F518:F525" si="69">"عدد"</f>
        <v>عدد</v>
      </c>
      <c r="G518" s="3">
        <v>11</v>
      </c>
      <c r="H518" s="5">
        <v>1500000</v>
      </c>
    </row>
    <row r="519" spans="1:8" ht="18.75" x14ac:dyDescent="0.2">
      <c r="A519" s="3" t="str">
        <f t="shared" si="67"/>
        <v>98/11/26</v>
      </c>
      <c r="B519" s="3" t="str">
        <f t="shared" si="68"/>
        <v>كالاهاي مصرفي</v>
      </c>
      <c r="C519" s="3" t="str">
        <f>"انبار مركزي ( عمومي )"</f>
        <v>انبار مركزي ( عمومي )</v>
      </c>
      <c r="D519" s="3" t="str">
        <f>"0202000453"</f>
        <v>0202000453</v>
      </c>
      <c r="E519" s="3" t="str">
        <f>"شاسي استپ گرد توكار تابلويي (صنعتي)"</f>
        <v>شاسي استپ گرد توكار تابلويي (صنعتي)</v>
      </c>
      <c r="F519" s="3" t="str">
        <f t="shared" si="69"/>
        <v>عدد</v>
      </c>
      <c r="G519" s="3">
        <v>5</v>
      </c>
      <c r="H519" s="5">
        <v>1500000</v>
      </c>
    </row>
    <row r="520" spans="1:8" ht="18.75" x14ac:dyDescent="0.2">
      <c r="A520" s="3" t="str">
        <f t="shared" si="67"/>
        <v>98/11/26</v>
      </c>
      <c r="B520" s="3" t="str">
        <f t="shared" si="68"/>
        <v>كالاهاي مصرفي</v>
      </c>
      <c r="C520" s="3" t="str">
        <f>"انبار مركزي ( عمومي )"</f>
        <v>انبار مركزي ( عمومي )</v>
      </c>
      <c r="D520" s="3" t="str">
        <f>"0202000454"</f>
        <v>0202000454</v>
      </c>
      <c r="E520" s="3" t="str">
        <f>"شاسي استارت گرد توكار تابلويي (صنعتي)"</f>
        <v>شاسي استارت گرد توكار تابلويي (صنعتي)</v>
      </c>
      <c r="F520" s="3" t="str">
        <f t="shared" si="69"/>
        <v>عدد</v>
      </c>
      <c r="G520" s="3">
        <v>5</v>
      </c>
      <c r="H520" s="5">
        <v>1500000</v>
      </c>
    </row>
    <row r="521" spans="1:8" ht="18.75" x14ac:dyDescent="0.2">
      <c r="A521" s="3" t="str">
        <f t="shared" si="67"/>
        <v>98/11/26</v>
      </c>
      <c r="B521" s="3" t="str">
        <f t="shared" si="68"/>
        <v>كالاهاي مصرفي</v>
      </c>
      <c r="C521" s="3" t="str">
        <f>"انبار مصرفي ZU1"</f>
        <v>انبار مصرفي ZU1</v>
      </c>
      <c r="D521" s="3" t="str">
        <f>"0204000086"</f>
        <v>0204000086</v>
      </c>
      <c r="E521" s="3" t="str">
        <f>"بيرينگ 2Z/C3-6206"</f>
        <v>بيرينگ 2Z/C3-6206</v>
      </c>
      <c r="F521" s="3" t="str">
        <f t="shared" si="69"/>
        <v>عدد</v>
      </c>
      <c r="G521" s="3">
        <v>3</v>
      </c>
      <c r="H521" s="5">
        <v>1500000</v>
      </c>
    </row>
    <row r="522" spans="1:8" ht="18.75" x14ac:dyDescent="0.2">
      <c r="A522" s="3" t="str">
        <f t="shared" si="67"/>
        <v>98/11/26</v>
      </c>
      <c r="B522" s="3" t="str">
        <f t="shared" si="68"/>
        <v>كالاهاي مصرفي</v>
      </c>
      <c r="C522" s="3" t="str">
        <f>"انبار مصرفي ZU1"</f>
        <v>انبار مصرفي ZU1</v>
      </c>
      <c r="D522" s="3" t="str">
        <f>"0204000950"</f>
        <v>0204000950</v>
      </c>
      <c r="E522" s="3" t="str">
        <f>"بيرينگ 6308 2RS/C3"</f>
        <v>بيرينگ 6308 2RS/C3</v>
      </c>
      <c r="F522" s="3" t="str">
        <f t="shared" si="69"/>
        <v>عدد</v>
      </c>
      <c r="G522" s="3">
        <v>3</v>
      </c>
      <c r="H522" s="5">
        <v>1500000</v>
      </c>
    </row>
    <row r="523" spans="1:8" ht="18.75" x14ac:dyDescent="0.2">
      <c r="A523" s="3" t="str">
        <f t="shared" si="67"/>
        <v>98/11/26</v>
      </c>
      <c r="B523" s="3" t="str">
        <f t="shared" si="68"/>
        <v>كالاهاي مصرفي</v>
      </c>
      <c r="C523" s="3" t="str">
        <f>"انبار مصرفي ZU1"</f>
        <v>انبار مصرفي ZU1</v>
      </c>
      <c r="D523" s="3" t="str">
        <f>"0204001089"</f>
        <v>0204001089</v>
      </c>
      <c r="E523" s="3" t="str">
        <f>"بيرينگ 16022"</f>
        <v>بيرينگ 16022</v>
      </c>
      <c r="F523" s="3" t="str">
        <f t="shared" si="69"/>
        <v>عدد</v>
      </c>
      <c r="G523" s="3">
        <v>1</v>
      </c>
      <c r="H523" s="5">
        <v>1500000</v>
      </c>
    </row>
    <row r="524" spans="1:8" ht="18.75" x14ac:dyDescent="0.2">
      <c r="A524" s="3" t="str">
        <f t="shared" si="67"/>
        <v>98/11/26</v>
      </c>
      <c r="B524" s="3" t="str">
        <f t="shared" si="68"/>
        <v>كالاهاي مصرفي</v>
      </c>
      <c r="C524" s="3" t="str">
        <f>"انبار مصرفي ZU1"</f>
        <v>انبار مصرفي ZU1</v>
      </c>
      <c r="D524" s="3" t="str">
        <f>"0204001457"</f>
        <v>0204001457</v>
      </c>
      <c r="E524" s="3" t="str">
        <f>"اورينگ EPDM 170*3"</f>
        <v>اورينگ EPDM 170*3</v>
      </c>
      <c r="F524" s="3" t="str">
        <f t="shared" si="69"/>
        <v>عدد</v>
      </c>
      <c r="G524" s="3">
        <v>50</v>
      </c>
      <c r="H524" s="5">
        <v>1500000</v>
      </c>
    </row>
    <row r="525" spans="1:8" ht="18.75" x14ac:dyDescent="0.2">
      <c r="A525" s="3" t="str">
        <f t="shared" si="67"/>
        <v>98/11/26</v>
      </c>
      <c r="B525" s="3" t="str">
        <f t="shared" si="68"/>
        <v>كالاهاي مصرفي</v>
      </c>
      <c r="C525" s="3" t="str">
        <f>"انبار مركزي ( عمومي )"</f>
        <v>انبار مركزي ( عمومي )</v>
      </c>
      <c r="D525" s="3" t="str">
        <f>"0206000379"</f>
        <v>0206000379</v>
      </c>
      <c r="E525" s="3" t="str">
        <f>"شير آبسردكن دومنظوره"</f>
        <v>شير آبسردكن دومنظوره</v>
      </c>
      <c r="F525" s="3" t="str">
        <f t="shared" si="69"/>
        <v>عدد</v>
      </c>
      <c r="G525" s="3">
        <v>10</v>
      </c>
      <c r="H525" s="5">
        <v>1500000</v>
      </c>
    </row>
    <row r="526" spans="1:8" ht="18.75" x14ac:dyDescent="0.2">
      <c r="A526" s="3" t="str">
        <f t="shared" si="67"/>
        <v>98/11/26</v>
      </c>
      <c r="B526" s="3" t="str">
        <f t="shared" si="68"/>
        <v>كالاهاي مصرفي</v>
      </c>
      <c r="C526" s="3" t="str">
        <f>"انبار مصرفي ZU1"</f>
        <v>انبار مصرفي ZU1</v>
      </c>
      <c r="D526" s="3" t="str">
        <f>"0213000360"</f>
        <v>0213000360</v>
      </c>
      <c r="E526" s="3" t="str">
        <f>"پيچ دو سر رزوه استنلس استيل M10"</f>
        <v>پيچ دو سر رزوه استنلس استيل M10</v>
      </c>
      <c r="F526" s="3" t="str">
        <f>"متر"</f>
        <v>متر</v>
      </c>
      <c r="G526" s="3">
        <v>10</v>
      </c>
      <c r="H526" s="5">
        <v>1500000</v>
      </c>
    </row>
    <row r="527" spans="1:8" ht="18.75" x14ac:dyDescent="0.2">
      <c r="A527" s="3" t="str">
        <f t="shared" si="67"/>
        <v>98/11/26</v>
      </c>
      <c r="B527" s="3" t="str">
        <f t="shared" si="68"/>
        <v>كالاهاي مصرفي</v>
      </c>
      <c r="C527" s="3" t="str">
        <f>"انبار مركزي ( عمومي )"</f>
        <v>انبار مركزي ( عمومي )</v>
      </c>
      <c r="D527" s="3" t="str">
        <f>"0213000882"</f>
        <v>0213000882</v>
      </c>
      <c r="E527" s="3" t="str">
        <f>"پوساب برچسب دار P400"</f>
        <v>پوساب برچسب دار P400</v>
      </c>
      <c r="F527" s="3" t="str">
        <f>"برگ"</f>
        <v>برگ</v>
      </c>
      <c r="G527" s="3">
        <v>20</v>
      </c>
      <c r="H527" s="5">
        <v>1500000</v>
      </c>
    </row>
    <row r="528" spans="1:8" ht="18.75" x14ac:dyDescent="0.2">
      <c r="A528" s="3" t="str">
        <f t="shared" si="67"/>
        <v>98/11/26</v>
      </c>
      <c r="B528" s="3" t="str">
        <f t="shared" si="68"/>
        <v>كالاهاي مصرفي</v>
      </c>
      <c r="C528" s="3" t="str">
        <f t="shared" ref="C528:C535" si="70">"انبار مصرفي ZU1"</f>
        <v>انبار مصرفي ZU1</v>
      </c>
      <c r="D528" s="3" t="str">
        <f>"0213000941"</f>
        <v>0213000941</v>
      </c>
      <c r="E528" s="3" t="str">
        <f>"پيچ تمام رزوه M16*120"</f>
        <v>پيچ تمام رزوه M16*120</v>
      </c>
      <c r="F528" s="3" t="str">
        <f>"عدد"</f>
        <v>عدد</v>
      </c>
      <c r="G528" s="3">
        <v>88</v>
      </c>
      <c r="H528" s="5">
        <v>1510960</v>
      </c>
    </row>
    <row r="529" spans="1:8" ht="18.75" x14ac:dyDescent="0.2">
      <c r="A529" s="3" t="str">
        <f t="shared" si="67"/>
        <v>98/11/26</v>
      </c>
      <c r="B529" s="3" t="str">
        <f t="shared" si="68"/>
        <v>كالاهاي مصرفي</v>
      </c>
      <c r="C529" s="3" t="str">
        <f t="shared" si="70"/>
        <v>انبار مصرفي ZU1</v>
      </c>
      <c r="D529" s="3" t="str">
        <f>"0213000715"</f>
        <v>0213000715</v>
      </c>
      <c r="E529" s="3" t="str">
        <f>"فازمتر"</f>
        <v>فازمتر</v>
      </c>
      <c r="F529" s="3" t="str">
        <f>"عدد"</f>
        <v>عدد</v>
      </c>
      <c r="G529" s="3">
        <v>21</v>
      </c>
      <c r="H529" s="5">
        <v>1517755</v>
      </c>
    </row>
    <row r="530" spans="1:8" ht="18.75" x14ac:dyDescent="0.2">
      <c r="A530" s="3" t="str">
        <f t="shared" si="67"/>
        <v>98/11/26</v>
      </c>
      <c r="B530" s="3" t="str">
        <f t="shared" si="68"/>
        <v>كالاهاي مصرفي</v>
      </c>
      <c r="C530" s="3" t="str">
        <f t="shared" si="70"/>
        <v>انبار مصرفي ZU1</v>
      </c>
      <c r="D530" s="3" t="str">
        <f>"0204001781"</f>
        <v>0204001781</v>
      </c>
      <c r="E530" s="3" t="str">
        <f>"گسكت مقاوم به آب وگاز و روغن با تراكم 3000 به ضخامت 0/5مي"</f>
        <v>گسكت مقاوم به آب وگاز و روغن با تراكم 3000 به ضخامت 0/5مي</v>
      </c>
      <c r="F530" s="3" t="str">
        <f>"متر مربع"</f>
        <v>متر مربع</v>
      </c>
      <c r="G530" s="3">
        <v>4</v>
      </c>
      <c r="H530" s="5">
        <v>1520000</v>
      </c>
    </row>
    <row r="531" spans="1:8" ht="18.75" x14ac:dyDescent="0.2">
      <c r="A531" s="3" t="str">
        <f t="shared" si="67"/>
        <v>98/11/26</v>
      </c>
      <c r="B531" s="3" t="str">
        <f t="shared" si="68"/>
        <v>كالاهاي مصرفي</v>
      </c>
      <c r="C531" s="3" t="str">
        <f t="shared" si="70"/>
        <v>انبار مصرفي ZU1</v>
      </c>
      <c r="D531" s="3" t="str">
        <f>"0206001165"</f>
        <v>0206001165</v>
      </c>
      <c r="E531" s="3" t="str">
        <f>"کوپلينگ مادگي نيوپايپ"</f>
        <v>کوپلينگ مادگي نيوپايپ</v>
      </c>
      <c r="F531" s="3" t="str">
        <f>"عدد"</f>
        <v>عدد</v>
      </c>
      <c r="G531" s="3">
        <v>8</v>
      </c>
      <c r="H531" s="5">
        <v>1520000</v>
      </c>
    </row>
    <row r="532" spans="1:8" ht="18.75" x14ac:dyDescent="0.2">
      <c r="A532" s="3" t="str">
        <f t="shared" si="67"/>
        <v>98/11/26</v>
      </c>
      <c r="B532" s="3" t="str">
        <f t="shared" si="68"/>
        <v>كالاهاي مصرفي</v>
      </c>
      <c r="C532" s="3" t="str">
        <f t="shared" si="70"/>
        <v>انبار مصرفي ZU1</v>
      </c>
      <c r="D532" s="3" t="str">
        <f>"0213000431"</f>
        <v>0213000431</v>
      </c>
      <c r="E532" s="3" t="str">
        <f>"پيچ گوشواره اي M10*6"</f>
        <v>پيچ گوشواره اي M10*6</v>
      </c>
      <c r="F532" s="3" t="str">
        <f>"عدد"</f>
        <v>عدد</v>
      </c>
      <c r="G532" s="3">
        <v>73</v>
      </c>
      <c r="H532" s="5">
        <v>1524657</v>
      </c>
    </row>
    <row r="533" spans="1:8" ht="18.75" x14ac:dyDescent="0.2">
      <c r="A533" s="3" t="str">
        <f t="shared" si="67"/>
        <v>98/11/26</v>
      </c>
      <c r="B533" s="3" t="str">
        <f t="shared" si="68"/>
        <v>كالاهاي مصرفي</v>
      </c>
      <c r="C533" s="3" t="str">
        <f t="shared" si="70"/>
        <v>انبار مصرفي ZU1</v>
      </c>
      <c r="D533" s="3" t="str">
        <f>"0101000085"</f>
        <v>0101000085</v>
      </c>
      <c r="E533" s="3" t="str">
        <f>"قلم مو 4 * 14cm (مفلاويز )"</f>
        <v>قلم مو 4 * 14cm (مفلاويز )</v>
      </c>
      <c r="F533" s="3" t="str">
        <f>"عدد"</f>
        <v>عدد</v>
      </c>
      <c r="G533" s="3">
        <v>18</v>
      </c>
      <c r="H533" s="5">
        <v>1530000</v>
      </c>
    </row>
    <row r="534" spans="1:8" ht="18.75" x14ac:dyDescent="0.2">
      <c r="A534" s="3" t="str">
        <f t="shared" si="67"/>
        <v>98/11/26</v>
      </c>
      <c r="B534" s="3" t="str">
        <f t="shared" si="68"/>
        <v>كالاهاي مصرفي</v>
      </c>
      <c r="C534" s="3" t="str">
        <f t="shared" si="70"/>
        <v>انبار مصرفي ZU1</v>
      </c>
      <c r="D534" s="3" t="str">
        <f>"0204000305"</f>
        <v>0204000305</v>
      </c>
      <c r="E534" s="3" t="str">
        <f>"كاسه نمد 13*140*115"</f>
        <v>كاسه نمد 13*140*115</v>
      </c>
      <c r="F534" s="3" t="str">
        <f>"عدد"</f>
        <v>عدد</v>
      </c>
      <c r="G534" s="3">
        <v>2</v>
      </c>
      <c r="H534" s="5">
        <v>1530000</v>
      </c>
    </row>
    <row r="535" spans="1:8" ht="18.75" x14ac:dyDescent="0.2">
      <c r="A535" s="3" t="str">
        <f t="shared" si="67"/>
        <v>98/11/26</v>
      </c>
      <c r="B535" s="3" t="str">
        <f t="shared" si="68"/>
        <v>كالاهاي مصرفي</v>
      </c>
      <c r="C535" s="3" t="str">
        <f t="shared" si="70"/>
        <v>انبار مصرفي ZU1</v>
      </c>
      <c r="D535" s="3" t="str">
        <f>"0204001554"</f>
        <v>0204001554</v>
      </c>
      <c r="E535" s="3" t="str">
        <f>"اورينگ NBR ضخامت 4"</f>
        <v>اورينگ NBR ضخامت 4</v>
      </c>
      <c r="F535" s="3" t="str">
        <f>"متر"</f>
        <v>متر</v>
      </c>
      <c r="G535" s="3">
        <v>47</v>
      </c>
      <c r="H535" s="5">
        <v>1532060</v>
      </c>
    </row>
    <row r="536" spans="1:8" ht="18.75" x14ac:dyDescent="0.2">
      <c r="A536" s="3" t="str">
        <f t="shared" si="67"/>
        <v>98/11/26</v>
      </c>
      <c r="B536" s="3" t="str">
        <f t="shared" si="68"/>
        <v>كالاهاي مصرفي</v>
      </c>
      <c r="C536" s="3" t="str">
        <f>"انبار مركزي ( عمومي )"</f>
        <v>انبار مركزي ( عمومي )</v>
      </c>
      <c r="D536" s="3" t="str">
        <f>"0213000772"</f>
        <v>0213000772</v>
      </c>
      <c r="E536" s="3" t="str">
        <f>"مته الماسه معمولي نمره 10"</f>
        <v>مته الماسه معمولي نمره 10</v>
      </c>
      <c r="F536" s="3" t="str">
        <f>"عدد"</f>
        <v>عدد</v>
      </c>
      <c r="G536" s="3">
        <v>11</v>
      </c>
      <c r="H536" s="5">
        <v>1540000</v>
      </c>
    </row>
    <row r="537" spans="1:8" ht="18.75" x14ac:dyDescent="0.2">
      <c r="A537" s="3" t="str">
        <f t="shared" si="67"/>
        <v>98/11/26</v>
      </c>
      <c r="B537" s="3" t="str">
        <f t="shared" si="68"/>
        <v>كالاهاي مصرفي</v>
      </c>
      <c r="C537" s="3" t="str">
        <f t="shared" ref="C537:C545" si="71">"انبار مصرفي ZU1"</f>
        <v>انبار مصرفي ZU1</v>
      </c>
      <c r="D537" s="3" t="str">
        <f>"0204001887"</f>
        <v>0204001887</v>
      </c>
      <c r="E537" s="3" t="str">
        <f>"كاسه نمد Mild Steel 105*130*4 AIA"</f>
        <v>كاسه نمد Mild Steel 105*130*4 AIA</v>
      </c>
      <c r="F537" s="3" t="str">
        <f>"عدد"</f>
        <v>عدد</v>
      </c>
      <c r="G537" s="3">
        <v>5</v>
      </c>
      <c r="H537" s="5">
        <v>1545000</v>
      </c>
    </row>
    <row r="538" spans="1:8" ht="18.75" x14ac:dyDescent="0.2">
      <c r="A538" s="3" t="str">
        <f t="shared" si="67"/>
        <v>98/11/26</v>
      </c>
      <c r="B538" s="3" t="str">
        <f t="shared" si="68"/>
        <v>كالاهاي مصرفي</v>
      </c>
      <c r="C538" s="3" t="str">
        <f t="shared" si="71"/>
        <v>انبار مصرفي ZU1</v>
      </c>
      <c r="D538" s="3" t="str">
        <f>"0204000116"</f>
        <v>0204000116</v>
      </c>
      <c r="E538" s="3" t="str">
        <f>"كاسه نمد 7 *40 *50"</f>
        <v>كاسه نمد 7 *40 *50</v>
      </c>
      <c r="F538" s="3" t="str">
        <f>"عدد"</f>
        <v>عدد</v>
      </c>
      <c r="G538" s="3">
        <v>10</v>
      </c>
      <c r="H538" s="5">
        <v>1550000</v>
      </c>
    </row>
    <row r="539" spans="1:8" ht="18.75" x14ac:dyDescent="0.2">
      <c r="A539" s="3" t="str">
        <f t="shared" si="67"/>
        <v>98/11/26</v>
      </c>
      <c r="B539" s="3" t="str">
        <f t="shared" si="68"/>
        <v>كالاهاي مصرفي</v>
      </c>
      <c r="C539" s="3" t="str">
        <f t="shared" si="71"/>
        <v>انبار مصرفي ZU1</v>
      </c>
      <c r="D539" s="3" t="str">
        <f>"0204001091"</f>
        <v>0204001091</v>
      </c>
      <c r="E539" s="3" t="str">
        <f>"واشر پلي اورتان 1 * 8 *10"</f>
        <v>واشر پلي اورتان 1 * 8 *10</v>
      </c>
      <c r="F539" s="3" t="str">
        <f>"عدد"</f>
        <v>عدد</v>
      </c>
      <c r="G539" s="3">
        <v>100</v>
      </c>
      <c r="H539" s="5">
        <v>1550000</v>
      </c>
    </row>
    <row r="540" spans="1:8" ht="18.75" x14ac:dyDescent="0.2">
      <c r="A540" s="3" t="str">
        <f t="shared" si="67"/>
        <v>98/11/26</v>
      </c>
      <c r="B540" s="3" t="str">
        <f t="shared" si="68"/>
        <v>كالاهاي مصرفي</v>
      </c>
      <c r="C540" s="3" t="str">
        <f t="shared" si="71"/>
        <v>انبار مصرفي ZU1</v>
      </c>
      <c r="D540" s="3" t="str">
        <f>"0204002146"</f>
        <v>0204002146</v>
      </c>
      <c r="E540" s="3" t="str">
        <f>"تسمه پروانه LiB-49"</f>
        <v>تسمه پروانه LiB-49</v>
      </c>
      <c r="F540" s="3" t="str">
        <f>"حلقه"</f>
        <v>حلقه</v>
      </c>
      <c r="G540" s="3">
        <v>5</v>
      </c>
      <c r="H540" s="5">
        <v>1550000</v>
      </c>
    </row>
    <row r="541" spans="1:8" ht="18.75" x14ac:dyDescent="0.2">
      <c r="A541" s="3" t="str">
        <f t="shared" si="67"/>
        <v>98/11/26</v>
      </c>
      <c r="B541" s="3" t="str">
        <f t="shared" si="68"/>
        <v>كالاهاي مصرفي</v>
      </c>
      <c r="C541" s="3" t="str">
        <f t="shared" si="71"/>
        <v>انبار مصرفي ZU1</v>
      </c>
      <c r="D541" s="3" t="str">
        <f>"0204001243"</f>
        <v>0204001243</v>
      </c>
      <c r="E541" s="3" t="str">
        <f>"کاسه نمد 13*120*90"</f>
        <v>کاسه نمد 13*120*90</v>
      </c>
      <c r="F541" s="3" t="str">
        <f>"عدد"</f>
        <v>عدد</v>
      </c>
      <c r="G541" s="3">
        <v>3</v>
      </c>
      <c r="H541" s="5">
        <v>1552500</v>
      </c>
    </row>
    <row r="542" spans="1:8" ht="18.75" x14ac:dyDescent="0.2">
      <c r="A542" s="3" t="str">
        <f t="shared" si="67"/>
        <v>98/11/26</v>
      </c>
      <c r="B542" s="3" t="str">
        <f t="shared" si="68"/>
        <v>كالاهاي مصرفي</v>
      </c>
      <c r="C542" s="3" t="str">
        <f t="shared" si="71"/>
        <v>انبار مصرفي ZU1</v>
      </c>
      <c r="D542" s="3" t="str">
        <f>"0204001987"</f>
        <v>0204001987</v>
      </c>
      <c r="E542" s="3" t="str">
        <f>"كاسه نمد 12 *130 *105"</f>
        <v>كاسه نمد 12 *130 *105</v>
      </c>
      <c r="F542" s="3" t="str">
        <f>"عدد"</f>
        <v>عدد</v>
      </c>
      <c r="G542" s="3">
        <v>3</v>
      </c>
      <c r="H542" s="5">
        <v>1552500</v>
      </c>
    </row>
    <row r="543" spans="1:8" ht="18.75" x14ac:dyDescent="0.2">
      <c r="A543" s="3" t="str">
        <f t="shared" si="67"/>
        <v>98/11/26</v>
      </c>
      <c r="B543" s="3" t="str">
        <f t="shared" si="68"/>
        <v>كالاهاي مصرفي</v>
      </c>
      <c r="C543" s="3" t="str">
        <f t="shared" si="71"/>
        <v>انبار مصرفي ZU1</v>
      </c>
      <c r="D543" s="3" t="str">
        <f>"0213000180"</f>
        <v>0213000180</v>
      </c>
      <c r="E543" s="3" t="str">
        <f>"مهره M14"</f>
        <v>مهره M14</v>
      </c>
      <c r="F543" s="3" t="str">
        <f>"عدد"</f>
        <v>عدد</v>
      </c>
      <c r="G543" s="3">
        <v>513</v>
      </c>
      <c r="H543" s="5">
        <v>1556211</v>
      </c>
    </row>
    <row r="544" spans="1:8" ht="18.75" x14ac:dyDescent="0.2">
      <c r="A544" s="3" t="str">
        <f t="shared" si="67"/>
        <v>98/11/26</v>
      </c>
      <c r="B544" s="3" t="str">
        <f t="shared" si="68"/>
        <v>كالاهاي مصرفي</v>
      </c>
      <c r="C544" s="3" t="str">
        <f t="shared" si="71"/>
        <v>انبار مصرفي ZU1</v>
      </c>
      <c r="D544" s="3" t="str">
        <f>"0204001557"</f>
        <v>0204001557</v>
      </c>
      <c r="E544" s="3" t="str">
        <f>"اورينگ NBR ضخامت 5.5"</f>
        <v>اورينگ NBR ضخامت 5.5</v>
      </c>
      <c r="F544" s="3" t="str">
        <f>"متر"</f>
        <v>متر</v>
      </c>
      <c r="G544" s="3">
        <v>37</v>
      </c>
      <c r="H544" s="5">
        <v>1560000</v>
      </c>
    </row>
    <row r="545" spans="1:8" ht="18.75" x14ac:dyDescent="0.2">
      <c r="A545" s="3" t="str">
        <f t="shared" si="67"/>
        <v>98/11/26</v>
      </c>
      <c r="B545" s="3" t="str">
        <f t="shared" si="68"/>
        <v>كالاهاي مصرفي</v>
      </c>
      <c r="C545" s="3" t="str">
        <f t="shared" si="71"/>
        <v>انبار مصرفي ZU1</v>
      </c>
      <c r="D545" s="3" t="str">
        <f>"0204001937"</f>
        <v>0204001937</v>
      </c>
      <c r="E545" s="3" t="str">
        <f>"بيرينگ NU1009"</f>
        <v>بيرينگ NU1009</v>
      </c>
      <c r="F545" s="3" t="str">
        <f t="shared" ref="F545:F553" si="72">"عدد"</f>
        <v>عدد</v>
      </c>
      <c r="G545" s="3">
        <v>1</v>
      </c>
      <c r="H545" s="5">
        <v>1560000</v>
      </c>
    </row>
    <row r="546" spans="1:8" ht="18.75" x14ac:dyDescent="0.2">
      <c r="A546" s="3" t="str">
        <f t="shared" si="67"/>
        <v>98/11/26</v>
      </c>
      <c r="B546" s="3" t="str">
        <f t="shared" si="68"/>
        <v>كالاهاي مصرفي</v>
      </c>
      <c r="C546" s="3" t="str">
        <f>"انبار مركزي ( عمومي )"</f>
        <v>انبار مركزي ( عمومي )</v>
      </c>
      <c r="D546" s="3" t="str">
        <f>"0213000639"</f>
        <v>0213000639</v>
      </c>
      <c r="E546" s="3" t="str">
        <f>"تسمه حمل بار چهار متري"</f>
        <v>تسمه حمل بار چهار متري</v>
      </c>
      <c r="F546" s="3" t="str">
        <f t="shared" si="72"/>
        <v>عدد</v>
      </c>
      <c r="G546" s="3">
        <v>2</v>
      </c>
      <c r="H546" s="5">
        <v>1560000</v>
      </c>
    </row>
    <row r="547" spans="1:8" ht="18.75" x14ac:dyDescent="0.2">
      <c r="A547" s="3" t="str">
        <f t="shared" si="67"/>
        <v>98/11/26</v>
      </c>
      <c r="B547" s="3" t="str">
        <f t="shared" si="68"/>
        <v>كالاهاي مصرفي</v>
      </c>
      <c r="C547" s="3" t="str">
        <f>"انبار مصرفي ZU1"</f>
        <v>انبار مصرفي ZU1</v>
      </c>
      <c r="D547" s="3" t="str">
        <f>"0204000740"</f>
        <v>0204000740</v>
      </c>
      <c r="E547" s="3" t="str">
        <f>"كاسه نمد Mild Steel 50*65*4 AIA"</f>
        <v>كاسه نمد Mild Steel 50*65*4 AIA</v>
      </c>
      <c r="F547" s="3" t="str">
        <f t="shared" si="72"/>
        <v>عدد</v>
      </c>
      <c r="G547" s="3">
        <v>5</v>
      </c>
      <c r="H547" s="5">
        <v>1570000</v>
      </c>
    </row>
    <row r="548" spans="1:8" ht="18.75" x14ac:dyDescent="0.2">
      <c r="A548" s="3" t="str">
        <f t="shared" si="67"/>
        <v>98/11/26</v>
      </c>
      <c r="B548" s="3" t="str">
        <f t="shared" si="68"/>
        <v>كالاهاي مصرفي</v>
      </c>
      <c r="C548" s="3" t="str">
        <f>"انبار مركزي ( عمومي )"</f>
        <v>انبار مركزي ( عمومي )</v>
      </c>
      <c r="D548" s="3" t="str">
        <f>"0203000289"</f>
        <v>0203000289</v>
      </c>
      <c r="E548" s="3" t="str">
        <f>"نگهدارنده انبردست"</f>
        <v>نگهدارنده انبردست</v>
      </c>
      <c r="F548" s="3" t="str">
        <f t="shared" si="72"/>
        <v>عدد</v>
      </c>
      <c r="G548" s="3">
        <v>3</v>
      </c>
      <c r="H548" s="5">
        <v>1575000</v>
      </c>
    </row>
    <row r="549" spans="1:8" ht="18.75" x14ac:dyDescent="0.2">
      <c r="A549" s="3" t="str">
        <f t="shared" si="67"/>
        <v>98/11/26</v>
      </c>
      <c r="B549" s="3" t="str">
        <f t="shared" si="68"/>
        <v>كالاهاي مصرفي</v>
      </c>
      <c r="C549" s="3" t="str">
        <f>"انبار مركزي ( عمومي )"</f>
        <v>انبار مركزي ( عمومي )</v>
      </c>
      <c r="D549" s="3" t="str">
        <f>"0206000673"</f>
        <v>0206000673</v>
      </c>
      <c r="E549" s="3" t="str">
        <f>"بست پايه دار ديواري فولادي سايز 2"</f>
        <v>بست پايه دار ديواري فولادي سايز 2</v>
      </c>
      <c r="F549" s="3" t="str">
        <f t="shared" si="72"/>
        <v>عدد</v>
      </c>
      <c r="G549" s="3">
        <v>35</v>
      </c>
      <c r="H549" s="5">
        <v>1575000</v>
      </c>
    </row>
    <row r="550" spans="1:8" ht="18.75" x14ac:dyDescent="0.2">
      <c r="A550" s="3" t="str">
        <f t="shared" si="67"/>
        <v>98/11/26</v>
      </c>
      <c r="B550" s="3" t="str">
        <f t="shared" si="68"/>
        <v>كالاهاي مصرفي</v>
      </c>
      <c r="C550" s="3" t="str">
        <f>"انبار مركزي ( عمومي )"</f>
        <v>انبار مركزي ( عمومي )</v>
      </c>
      <c r="D550" s="3" t="str">
        <f>"0601000154"</f>
        <v>0601000154</v>
      </c>
      <c r="E550" s="3" t="str">
        <f>"شيلد محافظ صورت"</f>
        <v>شيلد محافظ صورت</v>
      </c>
      <c r="F550" s="3" t="str">
        <f t="shared" si="72"/>
        <v>عدد</v>
      </c>
      <c r="G550" s="3">
        <v>3</v>
      </c>
      <c r="H550" s="5">
        <v>1577679</v>
      </c>
    </row>
    <row r="551" spans="1:8" ht="18.75" x14ac:dyDescent="0.2">
      <c r="A551" s="3" t="str">
        <f t="shared" si="67"/>
        <v>98/11/26</v>
      </c>
      <c r="B551" s="3" t="str">
        <f t="shared" si="68"/>
        <v>كالاهاي مصرفي</v>
      </c>
      <c r="C551" s="3" t="str">
        <f>"انبار مصرفي ZU1"</f>
        <v>انبار مصرفي ZU1</v>
      </c>
      <c r="D551" s="3" t="str">
        <f>"0204001515"</f>
        <v>0204001515</v>
      </c>
      <c r="E551" s="3" t="str">
        <f>"فيبر وفنر 18mm"</f>
        <v>فيبر وفنر 18mm</v>
      </c>
      <c r="F551" s="3" t="str">
        <f t="shared" si="72"/>
        <v>عدد</v>
      </c>
      <c r="G551" s="3">
        <v>3</v>
      </c>
      <c r="H551" s="5">
        <v>1590000</v>
      </c>
    </row>
    <row r="552" spans="1:8" ht="18.75" x14ac:dyDescent="0.2">
      <c r="A552" s="3" t="str">
        <f t="shared" si="67"/>
        <v>98/11/26</v>
      </c>
      <c r="B552" s="3" t="str">
        <f t="shared" si="68"/>
        <v>كالاهاي مصرفي</v>
      </c>
      <c r="C552" s="3" t="str">
        <f>"انبار مصرفي ZU1"</f>
        <v>انبار مصرفي ZU1</v>
      </c>
      <c r="D552" s="3" t="str">
        <f>"0213000849"</f>
        <v>0213000849</v>
      </c>
      <c r="E552" s="3" t="str">
        <f>"پيچ استنلس استيل M12*60"</f>
        <v>پيچ استنلس استيل M12*60</v>
      </c>
      <c r="F552" s="3" t="str">
        <f t="shared" si="72"/>
        <v>عدد</v>
      </c>
      <c r="G552" s="3">
        <v>88</v>
      </c>
      <c r="H552" s="5">
        <v>1592800</v>
      </c>
    </row>
    <row r="553" spans="1:8" ht="18.75" x14ac:dyDescent="0.2">
      <c r="A553" s="3" t="str">
        <f t="shared" si="67"/>
        <v>98/11/26</v>
      </c>
      <c r="B553" s="3" t="str">
        <f t="shared" si="68"/>
        <v>كالاهاي مصرفي</v>
      </c>
      <c r="C553" s="3" t="str">
        <f>"انبار مصرفي ZU1"</f>
        <v>انبار مصرفي ZU1</v>
      </c>
      <c r="D553" s="3" t="str">
        <f>"0213000121"</f>
        <v>0213000121</v>
      </c>
      <c r="E553" s="3" t="str">
        <f>"واشر قفلي M10"</f>
        <v>واشر قفلي M10</v>
      </c>
      <c r="F553" s="3" t="str">
        <f t="shared" si="72"/>
        <v>عدد</v>
      </c>
      <c r="G553" s="3">
        <v>410</v>
      </c>
      <c r="H553" s="5">
        <v>1599000</v>
      </c>
    </row>
    <row r="554" spans="1:8" ht="18.75" x14ac:dyDescent="0.2">
      <c r="A554" s="3" t="str">
        <f t="shared" si="67"/>
        <v>98/11/26</v>
      </c>
      <c r="B554" s="3" t="str">
        <f t="shared" si="68"/>
        <v>كالاهاي مصرفي</v>
      </c>
      <c r="C554" s="3" t="str">
        <f>"انبار مصرفي ZU1"</f>
        <v>انبار مصرفي ZU1</v>
      </c>
      <c r="D554" s="3" t="str">
        <f>"0102000188"</f>
        <v>0102000188</v>
      </c>
      <c r="E554" s="3" t="str">
        <f>"رويه پلي اورتان HB با هاردنر رال 8001"</f>
        <v>رويه پلي اورتان HB با هاردنر رال 8001</v>
      </c>
      <c r="F554" s="3" t="str">
        <f>"کيلوگرم"</f>
        <v>کيلوگرم</v>
      </c>
      <c r="G554" s="3">
        <v>4</v>
      </c>
      <c r="H554" s="5">
        <v>1600000</v>
      </c>
    </row>
    <row r="555" spans="1:8" ht="18.75" x14ac:dyDescent="0.2">
      <c r="A555" s="3" t="str">
        <f t="shared" si="67"/>
        <v>98/11/26</v>
      </c>
      <c r="B555" s="3" t="str">
        <f t="shared" si="68"/>
        <v>كالاهاي مصرفي</v>
      </c>
      <c r="C555" s="3" t="str">
        <f>"انبار مركزي ( عمومي )"</f>
        <v>انبار مركزي ( عمومي )</v>
      </c>
      <c r="D555" s="3" t="str">
        <f>"0203000050"</f>
        <v>0203000050</v>
      </c>
      <c r="E555" s="3" t="str">
        <f>"متر فلزي 10 متري"</f>
        <v>متر فلزي 10 متري</v>
      </c>
      <c r="F555" s="3" t="str">
        <f>"عدد"</f>
        <v>عدد</v>
      </c>
      <c r="G555" s="3">
        <v>2</v>
      </c>
      <c r="H555" s="5">
        <v>1600000</v>
      </c>
    </row>
    <row r="556" spans="1:8" ht="18.75" x14ac:dyDescent="0.2">
      <c r="A556" s="3" t="str">
        <f t="shared" si="67"/>
        <v>98/11/26</v>
      </c>
      <c r="B556" s="3" t="str">
        <f t="shared" si="68"/>
        <v>كالاهاي مصرفي</v>
      </c>
      <c r="C556" s="3" t="str">
        <f t="shared" ref="C556:C562" si="73">"انبار مصرفي ZU1"</f>
        <v>انبار مصرفي ZU1</v>
      </c>
      <c r="D556" s="3" t="str">
        <f>"0204000117"</f>
        <v>0204000117</v>
      </c>
      <c r="E556" s="3" t="str">
        <f>"كاسه نمد 10*58*35"</f>
        <v>كاسه نمد 10*58*35</v>
      </c>
      <c r="F556" s="3" t="str">
        <f>"عدد"</f>
        <v>عدد</v>
      </c>
      <c r="G556" s="3">
        <v>8</v>
      </c>
      <c r="H556" s="5">
        <v>1600000</v>
      </c>
    </row>
    <row r="557" spans="1:8" ht="18.75" x14ac:dyDescent="0.2">
      <c r="A557" s="3" t="str">
        <f t="shared" si="67"/>
        <v>98/11/26</v>
      </c>
      <c r="B557" s="3" t="str">
        <f t="shared" si="68"/>
        <v>كالاهاي مصرفي</v>
      </c>
      <c r="C557" s="3" t="str">
        <f t="shared" si="73"/>
        <v>انبار مصرفي ZU1</v>
      </c>
      <c r="D557" s="3" t="str">
        <f>"0204000511"</f>
        <v>0204000511</v>
      </c>
      <c r="E557" s="3" t="str">
        <f>"بيرينگ 6308"</f>
        <v>بيرينگ 6308</v>
      </c>
      <c r="F557" s="3" t="str">
        <f>"عدد"</f>
        <v>عدد</v>
      </c>
      <c r="G557" s="3">
        <v>5</v>
      </c>
      <c r="H557" s="5">
        <v>1600000</v>
      </c>
    </row>
    <row r="558" spans="1:8" ht="18.75" x14ac:dyDescent="0.2">
      <c r="A558" s="3" t="str">
        <f t="shared" si="67"/>
        <v>98/11/26</v>
      </c>
      <c r="B558" s="3" t="str">
        <f t="shared" si="68"/>
        <v>كالاهاي مصرفي</v>
      </c>
      <c r="C558" s="3" t="str">
        <f t="shared" si="73"/>
        <v>انبار مصرفي ZU1</v>
      </c>
      <c r="D558" s="3" t="str">
        <f>"0204000685"</f>
        <v>0204000685</v>
      </c>
      <c r="E558" s="3" t="str">
        <f>"واشر اورينگ رزيني 4*(0/7-)42"</f>
        <v>واشر اورينگ رزيني 4*(0/7-)42</v>
      </c>
      <c r="F558" s="3" t="str">
        <f>"عدد"</f>
        <v>عدد</v>
      </c>
      <c r="G558" s="3">
        <v>20</v>
      </c>
      <c r="H558" s="5">
        <v>1600000</v>
      </c>
    </row>
    <row r="559" spans="1:8" ht="18.75" x14ac:dyDescent="0.2">
      <c r="A559" s="3" t="str">
        <f t="shared" si="67"/>
        <v>98/11/26</v>
      </c>
      <c r="B559" s="3" t="str">
        <f t="shared" si="68"/>
        <v>كالاهاي مصرفي</v>
      </c>
      <c r="C559" s="3" t="str">
        <f t="shared" si="73"/>
        <v>انبار مصرفي ZU1</v>
      </c>
      <c r="D559" s="3" t="str">
        <f>"0204001499"</f>
        <v>0204001499</v>
      </c>
      <c r="E559" s="3" t="str">
        <f>"بيرينگ 31308"</f>
        <v>بيرينگ 31308</v>
      </c>
      <c r="F559" s="3" t="str">
        <f>"عدد"</f>
        <v>عدد</v>
      </c>
      <c r="G559" s="3">
        <v>2</v>
      </c>
      <c r="H559" s="5">
        <v>1600000</v>
      </c>
    </row>
    <row r="560" spans="1:8" ht="18.75" x14ac:dyDescent="0.2">
      <c r="A560" s="3" t="str">
        <f t="shared" si="67"/>
        <v>98/11/26</v>
      </c>
      <c r="B560" s="3" t="str">
        <f t="shared" si="68"/>
        <v>كالاهاي مصرفي</v>
      </c>
      <c r="C560" s="3" t="str">
        <f t="shared" si="73"/>
        <v>انبار مصرفي ZU1</v>
      </c>
      <c r="D560" s="3" t="str">
        <f>"0204002153"</f>
        <v>0204002153</v>
      </c>
      <c r="E560" s="3" t="str">
        <f>"تسمه پروانه SPA -2240"</f>
        <v>تسمه پروانه SPA -2240</v>
      </c>
      <c r="F560" s="3" t="str">
        <f>"حلقه"</f>
        <v>حلقه</v>
      </c>
      <c r="G560" s="3">
        <v>4</v>
      </c>
      <c r="H560" s="5">
        <v>1600000</v>
      </c>
    </row>
    <row r="561" spans="1:8" ht="18.75" x14ac:dyDescent="0.2">
      <c r="A561" s="3" t="str">
        <f t="shared" si="67"/>
        <v>98/11/26</v>
      </c>
      <c r="B561" s="3" t="str">
        <f t="shared" si="68"/>
        <v>كالاهاي مصرفي</v>
      </c>
      <c r="C561" s="3" t="str">
        <f t="shared" si="73"/>
        <v>انبار مصرفي ZU1</v>
      </c>
      <c r="D561" s="3" t="str">
        <f>"0211000129"</f>
        <v>0211000129</v>
      </c>
      <c r="E561" s="3" t="str">
        <f>"چهار تراش 4 * 4 دو متري"</f>
        <v>چهار تراش 4 * 4 دو متري</v>
      </c>
      <c r="F561" s="3" t="str">
        <f>"شاخه"</f>
        <v>شاخه</v>
      </c>
      <c r="G561" s="3">
        <v>8</v>
      </c>
      <c r="H561" s="5">
        <v>1600000</v>
      </c>
    </row>
    <row r="562" spans="1:8" ht="18.75" x14ac:dyDescent="0.2">
      <c r="A562" s="3" t="str">
        <f t="shared" si="67"/>
        <v>98/11/26</v>
      </c>
      <c r="B562" s="3" t="str">
        <f t="shared" si="68"/>
        <v>كالاهاي مصرفي</v>
      </c>
      <c r="C562" s="3" t="str">
        <f t="shared" si="73"/>
        <v>انبار مصرفي ZU1</v>
      </c>
      <c r="D562" s="3" t="str">
        <f>"0213000131"</f>
        <v>0213000131</v>
      </c>
      <c r="E562" s="3" t="str">
        <f>"واشر قفلي M30"</f>
        <v>واشر قفلي M30</v>
      </c>
      <c r="F562" s="3" t="str">
        <f>"عدد"</f>
        <v>عدد</v>
      </c>
      <c r="G562" s="3">
        <v>40</v>
      </c>
      <c r="H562" s="5">
        <v>1600000</v>
      </c>
    </row>
    <row r="563" spans="1:8" ht="18.75" x14ac:dyDescent="0.2">
      <c r="A563" s="3" t="str">
        <f t="shared" si="67"/>
        <v>98/11/26</v>
      </c>
      <c r="B563" s="3" t="str">
        <f t="shared" si="68"/>
        <v>كالاهاي مصرفي</v>
      </c>
      <c r="C563" s="3" t="str">
        <f>"انبار مركزي ( عمومي )"</f>
        <v>انبار مركزي ( عمومي )</v>
      </c>
      <c r="D563" s="3" t="str">
        <f>"0213000264"</f>
        <v>0213000264</v>
      </c>
      <c r="E563" s="3" t="str">
        <f>"بولت نمره 8"</f>
        <v>بولت نمره 8</v>
      </c>
      <c r="F563" s="3" t="str">
        <f>"عدد"</f>
        <v>عدد</v>
      </c>
      <c r="G563" s="3">
        <v>20</v>
      </c>
      <c r="H563" s="5">
        <v>1600000</v>
      </c>
    </row>
    <row r="564" spans="1:8" ht="18.75" x14ac:dyDescent="0.2">
      <c r="A564" s="3" t="str">
        <f t="shared" si="67"/>
        <v>98/11/26</v>
      </c>
      <c r="B564" s="3" t="str">
        <f t="shared" si="68"/>
        <v>كالاهاي مصرفي</v>
      </c>
      <c r="C564" s="3" t="str">
        <f>"انبار مركزي ( عمومي )"</f>
        <v>انبار مركزي ( عمومي )</v>
      </c>
      <c r="D564" s="3" t="str">
        <f>"0213000612"</f>
        <v>0213000612</v>
      </c>
      <c r="E564" s="3" t="str">
        <f>"نقاله"</f>
        <v>نقاله</v>
      </c>
      <c r="F564" s="3" t="str">
        <f>"عدد"</f>
        <v>عدد</v>
      </c>
      <c r="G564" s="3">
        <v>5</v>
      </c>
      <c r="H564" s="5">
        <v>1600000</v>
      </c>
    </row>
    <row r="565" spans="1:8" ht="18.75" x14ac:dyDescent="0.2">
      <c r="A565" s="3" t="str">
        <f t="shared" si="67"/>
        <v>98/11/26</v>
      </c>
      <c r="B565" s="3" t="str">
        <f t="shared" si="68"/>
        <v>كالاهاي مصرفي</v>
      </c>
      <c r="C565" s="3" t="str">
        <f>"انبار مركزي ( عمومي )"</f>
        <v>انبار مركزي ( عمومي )</v>
      </c>
      <c r="D565" s="3" t="str">
        <f>"0906000170"</f>
        <v>0906000170</v>
      </c>
      <c r="E565" s="3" t="str">
        <f>"آدابتور ولتاژ مانيتور"</f>
        <v>آدابتور ولتاژ مانيتور</v>
      </c>
      <c r="F565" s="3" t="str">
        <f>"دستگاه"</f>
        <v>دستگاه</v>
      </c>
      <c r="G565" s="3">
        <v>3</v>
      </c>
      <c r="H565" s="5">
        <v>1601538</v>
      </c>
    </row>
    <row r="566" spans="1:8" ht="18.75" x14ac:dyDescent="0.2">
      <c r="A566" s="3" t="str">
        <f t="shared" si="67"/>
        <v>98/11/26</v>
      </c>
      <c r="B566" s="3" t="str">
        <f t="shared" si="68"/>
        <v>كالاهاي مصرفي</v>
      </c>
      <c r="C566" s="3" t="str">
        <f t="shared" ref="C566:C574" si="74">"انبار مصرفي ZU1"</f>
        <v>انبار مصرفي ZU1</v>
      </c>
      <c r="D566" s="3" t="str">
        <f>"0204000733"</f>
        <v>0204000733</v>
      </c>
      <c r="E566" s="3" t="str">
        <f>"كاسه نمد Mild Steel 24*40*3 AIA"</f>
        <v>كاسه نمد Mild Steel 24*40*3 AIA</v>
      </c>
      <c r="F566" s="3" t="str">
        <f t="shared" ref="F566:F582" si="75">"عدد"</f>
        <v>عدد</v>
      </c>
      <c r="G566" s="3">
        <v>5</v>
      </c>
      <c r="H566" s="5">
        <v>1605000</v>
      </c>
    </row>
    <row r="567" spans="1:8" ht="18.75" x14ac:dyDescent="0.2">
      <c r="A567" s="3" t="str">
        <f t="shared" si="67"/>
        <v>98/11/26</v>
      </c>
      <c r="B567" s="3" t="str">
        <f t="shared" si="68"/>
        <v>كالاهاي مصرفي</v>
      </c>
      <c r="C567" s="3" t="str">
        <f t="shared" si="74"/>
        <v>انبار مصرفي ZU1</v>
      </c>
      <c r="D567" s="3" t="str">
        <f>"0204000734"</f>
        <v>0204000734</v>
      </c>
      <c r="E567" s="3" t="str">
        <f>"كاسه نمد Mild Steel 24*40*4 AIA"</f>
        <v>كاسه نمد Mild Steel 24*40*4 AIA</v>
      </c>
      <c r="F567" s="3" t="str">
        <f t="shared" si="75"/>
        <v>عدد</v>
      </c>
      <c r="G567" s="3">
        <v>5</v>
      </c>
      <c r="H567" s="5">
        <v>1605000</v>
      </c>
    </row>
    <row r="568" spans="1:8" ht="18.75" x14ac:dyDescent="0.2">
      <c r="A568" s="3" t="str">
        <f t="shared" si="67"/>
        <v>98/11/26</v>
      </c>
      <c r="B568" s="3" t="str">
        <f t="shared" si="68"/>
        <v>كالاهاي مصرفي</v>
      </c>
      <c r="C568" s="3" t="str">
        <f t="shared" si="74"/>
        <v>انبار مصرفي ZU1</v>
      </c>
      <c r="D568" s="3" t="str">
        <f>"0204000735"</f>
        <v>0204000735</v>
      </c>
      <c r="E568" s="3" t="str">
        <f>"كاسه نمد Mild Steel 30*42*4 AIA"</f>
        <v>كاسه نمد Mild Steel 30*42*4 AIA</v>
      </c>
      <c r="F568" s="3" t="str">
        <f t="shared" si="75"/>
        <v>عدد</v>
      </c>
      <c r="G568" s="3">
        <v>5</v>
      </c>
      <c r="H568" s="5">
        <v>1610000</v>
      </c>
    </row>
    <row r="569" spans="1:8" ht="18.75" x14ac:dyDescent="0.2">
      <c r="A569" s="3" t="str">
        <f t="shared" si="67"/>
        <v>98/11/26</v>
      </c>
      <c r="B569" s="3" t="str">
        <f t="shared" si="68"/>
        <v>كالاهاي مصرفي</v>
      </c>
      <c r="C569" s="3" t="str">
        <f t="shared" si="74"/>
        <v>انبار مصرفي ZU1</v>
      </c>
      <c r="D569" s="3" t="str">
        <f>"0204001407"</f>
        <v>0204001407</v>
      </c>
      <c r="E569" s="3" t="str">
        <f>"فيبر وفنر 12mm"</f>
        <v>فيبر وفنر 12mm</v>
      </c>
      <c r="F569" s="3" t="str">
        <f t="shared" si="75"/>
        <v>عدد</v>
      </c>
      <c r="G569" s="3">
        <v>5</v>
      </c>
      <c r="H569" s="5">
        <v>1610000</v>
      </c>
    </row>
    <row r="570" spans="1:8" ht="18.75" x14ac:dyDescent="0.2">
      <c r="A570" s="3" t="str">
        <f t="shared" si="67"/>
        <v>98/11/26</v>
      </c>
      <c r="B570" s="3" t="str">
        <f t="shared" si="68"/>
        <v>كالاهاي مصرفي</v>
      </c>
      <c r="C570" s="3" t="str">
        <f t="shared" si="74"/>
        <v>انبار مصرفي ZU1</v>
      </c>
      <c r="D570" s="3" t="str">
        <f>"0204001458"</f>
        <v>0204001458</v>
      </c>
      <c r="E570" s="3" t="str">
        <f>"اورينگ EPDM 170*4"</f>
        <v>اورينگ EPDM 170*4</v>
      </c>
      <c r="F570" s="3" t="str">
        <f t="shared" si="75"/>
        <v>عدد</v>
      </c>
      <c r="G570" s="3">
        <v>46</v>
      </c>
      <c r="H570" s="5">
        <v>1610000</v>
      </c>
    </row>
    <row r="571" spans="1:8" ht="18.75" x14ac:dyDescent="0.2">
      <c r="A571" s="3" t="str">
        <f t="shared" si="67"/>
        <v>98/11/26</v>
      </c>
      <c r="B571" s="3" t="str">
        <f t="shared" si="68"/>
        <v>كالاهاي مصرفي</v>
      </c>
      <c r="C571" s="3" t="str">
        <f t="shared" si="74"/>
        <v>انبار مصرفي ZU1</v>
      </c>
      <c r="D571" s="3" t="str">
        <f>"0204000310"</f>
        <v>0204000310</v>
      </c>
      <c r="E571" s="3" t="str">
        <f>"كاسه نمد 12*170*135"</f>
        <v>كاسه نمد 12*170*135</v>
      </c>
      <c r="F571" s="3" t="str">
        <f t="shared" si="75"/>
        <v>عدد</v>
      </c>
      <c r="G571" s="3">
        <v>2</v>
      </c>
      <c r="H571" s="5">
        <v>1625000</v>
      </c>
    </row>
    <row r="572" spans="1:8" ht="18.75" x14ac:dyDescent="0.2">
      <c r="A572" s="3" t="str">
        <f t="shared" si="67"/>
        <v>98/11/26</v>
      </c>
      <c r="B572" s="3" t="str">
        <f t="shared" si="68"/>
        <v>كالاهاي مصرفي</v>
      </c>
      <c r="C572" s="3" t="str">
        <f t="shared" si="74"/>
        <v>انبار مصرفي ZU1</v>
      </c>
      <c r="D572" s="3" t="str">
        <f>"0213000122"</f>
        <v>0213000122</v>
      </c>
      <c r="E572" s="3" t="str">
        <f>"واشر قفلي M12"</f>
        <v>واشر قفلي M12</v>
      </c>
      <c r="F572" s="3" t="str">
        <f t="shared" si="75"/>
        <v>عدد</v>
      </c>
      <c r="G572" s="3">
        <v>375</v>
      </c>
      <c r="H572" s="5">
        <v>1631250</v>
      </c>
    </row>
    <row r="573" spans="1:8" ht="18.75" x14ac:dyDescent="0.2">
      <c r="A573" s="3" t="str">
        <f t="shared" si="67"/>
        <v>98/11/26</v>
      </c>
      <c r="B573" s="3" t="str">
        <f t="shared" si="68"/>
        <v>كالاهاي مصرفي</v>
      </c>
      <c r="C573" s="3" t="str">
        <f t="shared" si="74"/>
        <v>انبار مصرفي ZU1</v>
      </c>
      <c r="D573" s="3" t="str">
        <f>"0204001460"</f>
        <v>0204001460</v>
      </c>
      <c r="E573" s="3" t="str">
        <f>"بيرينگ 6303 2Z-C3"</f>
        <v>بيرينگ 6303 2Z-C3</v>
      </c>
      <c r="F573" s="3" t="str">
        <f t="shared" si="75"/>
        <v>عدد</v>
      </c>
      <c r="G573" s="3">
        <v>20</v>
      </c>
      <c r="H573" s="5">
        <v>1649000</v>
      </c>
    </row>
    <row r="574" spans="1:8" ht="18.75" x14ac:dyDescent="0.2">
      <c r="A574" s="3" t="str">
        <f t="shared" si="67"/>
        <v>98/11/26</v>
      </c>
      <c r="B574" s="3" t="str">
        <f t="shared" si="68"/>
        <v>كالاهاي مصرفي</v>
      </c>
      <c r="C574" s="3" t="str">
        <f t="shared" si="74"/>
        <v>انبار مصرفي ZU1</v>
      </c>
      <c r="D574" s="3" t="str">
        <f>"0204001806"</f>
        <v>0204001806</v>
      </c>
      <c r="E574" s="3" t="str">
        <f>"بوش بيرينگ  ( NA4913 (657225"</f>
        <v>بوش بيرينگ  ( NA4913 (657225</v>
      </c>
      <c r="F574" s="3" t="str">
        <f t="shared" si="75"/>
        <v>عدد</v>
      </c>
      <c r="G574" s="3">
        <v>1</v>
      </c>
      <c r="H574" s="5">
        <v>1650000</v>
      </c>
    </row>
    <row r="575" spans="1:8" ht="18.75" x14ac:dyDescent="0.2">
      <c r="A575" s="3" t="str">
        <f t="shared" si="67"/>
        <v>98/11/26</v>
      </c>
      <c r="B575" s="3" t="str">
        <f t="shared" si="68"/>
        <v>كالاهاي مصرفي</v>
      </c>
      <c r="C575" s="3" t="str">
        <f>"انبار مركزي ( عمومي )"</f>
        <v>انبار مركزي ( عمومي )</v>
      </c>
      <c r="D575" s="3" t="str">
        <f>"0211000235"</f>
        <v>0211000235</v>
      </c>
      <c r="E575" s="3" t="str">
        <f>"زغال و نگهدارنده الكتروموتور"</f>
        <v>زغال و نگهدارنده الكتروموتور</v>
      </c>
      <c r="F575" s="3" t="str">
        <f t="shared" si="75"/>
        <v>عدد</v>
      </c>
      <c r="G575" s="3">
        <v>40</v>
      </c>
      <c r="H575" s="5">
        <v>1650000</v>
      </c>
    </row>
    <row r="576" spans="1:8" ht="18.75" x14ac:dyDescent="0.2">
      <c r="A576" s="3" t="str">
        <f t="shared" si="67"/>
        <v>98/11/26</v>
      </c>
      <c r="B576" s="3" t="str">
        <f t="shared" si="68"/>
        <v>كالاهاي مصرفي</v>
      </c>
      <c r="C576" s="3" t="str">
        <f>"انبار مركزي ( عمومي )"</f>
        <v>انبار مركزي ( عمومي )</v>
      </c>
      <c r="D576" s="3" t="str">
        <f>"0213000580"</f>
        <v>0213000580</v>
      </c>
      <c r="E576" s="3" t="str">
        <f>"برس كاسه اي كوچك"</f>
        <v>برس كاسه اي كوچك</v>
      </c>
      <c r="F576" s="3" t="str">
        <f t="shared" si="75"/>
        <v>عدد</v>
      </c>
      <c r="G576" s="3">
        <v>10</v>
      </c>
      <c r="H576" s="5">
        <v>1650000</v>
      </c>
    </row>
    <row r="577" spans="1:8" ht="18.75" x14ac:dyDescent="0.2">
      <c r="A577" s="3" t="str">
        <f t="shared" si="67"/>
        <v>98/11/26</v>
      </c>
      <c r="B577" s="3" t="str">
        <f t="shared" si="68"/>
        <v>كالاهاي مصرفي</v>
      </c>
      <c r="C577" s="3" t="str">
        <f>"انبار مركزي ( عمومي )"</f>
        <v>انبار مركزي ( عمومي )</v>
      </c>
      <c r="D577" s="3" t="str">
        <f>"0211001564"</f>
        <v>0211001564</v>
      </c>
      <c r="E577" s="3" t="str">
        <f>"پيمانه روغن 2 ليتري"</f>
        <v>پيمانه روغن 2 ليتري</v>
      </c>
      <c r="F577" s="3" t="str">
        <f t="shared" si="75"/>
        <v>عدد</v>
      </c>
      <c r="G577" s="3">
        <v>9</v>
      </c>
      <c r="H577" s="5">
        <v>1665000</v>
      </c>
    </row>
    <row r="578" spans="1:8" ht="18.75" x14ac:dyDescent="0.2">
      <c r="A578" s="3" t="str">
        <f t="shared" ref="A578:A641" si="76">"98/11/26"</f>
        <v>98/11/26</v>
      </c>
      <c r="B578" s="3" t="str">
        <f t="shared" ref="B578:B641" si="77">"كالاهاي مصرفي"</f>
        <v>كالاهاي مصرفي</v>
      </c>
      <c r="C578" s="3" t="str">
        <f>"انبار مركزي ( عمومي )"</f>
        <v>انبار مركزي ( عمومي )</v>
      </c>
      <c r="D578" s="3" t="str">
        <f>"0203000238"</f>
        <v>0203000238</v>
      </c>
      <c r="E578" s="3" t="str">
        <f>"مته الماسه چهار شياره نمره  7"</f>
        <v>مته الماسه چهار شياره نمره  7</v>
      </c>
      <c r="F578" s="3" t="str">
        <f t="shared" si="75"/>
        <v>عدد</v>
      </c>
      <c r="G578" s="3">
        <v>8</v>
      </c>
      <c r="H578" s="5">
        <v>1673840</v>
      </c>
    </row>
    <row r="579" spans="1:8" ht="18.75" x14ac:dyDescent="0.2">
      <c r="A579" s="3" t="str">
        <f t="shared" si="76"/>
        <v>98/11/26</v>
      </c>
      <c r="B579" s="3" t="str">
        <f t="shared" si="77"/>
        <v>كالاهاي مصرفي</v>
      </c>
      <c r="C579" s="3" t="str">
        <f>"انبار مصرفي ZU1"</f>
        <v>انبار مصرفي ZU1</v>
      </c>
      <c r="D579" s="3" t="str">
        <f>"0204000931"</f>
        <v>0204000931</v>
      </c>
      <c r="E579" s="3" t="str">
        <f>"خار چشمي DIN472 M68 داخلي"</f>
        <v>خار چشمي DIN472 M68 داخلي</v>
      </c>
      <c r="F579" s="3" t="str">
        <f t="shared" si="75"/>
        <v>عدد</v>
      </c>
      <c r="G579" s="3">
        <v>40</v>
      </c>
      <c r="H579" s="5">
        <v>1675400</v>
      </c>
    </row>
    <row r="580" spans="1:8" ht="18.75" x14ac:dyDescent="0.2">
      <c r="A580" s="3" t="str">
        <f t="shared" si="76"/>
        <v>98/11/26</v>
      </c>
      <c r="B580" s="3" t="str">
        <f t="shared" si="77"/>
        <v>كالاهاي مصرفي</v>
      </c>
      <c r="C580" s="3" t="str">
        <f>"انبار مصرفي ZU1"</f>
        <v>انبار مصرفي ZU1</v>
      </c>
      <c r="D580" s="3" t="str">
        <f>"0204001323"</f>
        <v>0204001323</v>
      </c>
      <c r="E580" s="3" t="str">
        <f>"اورينگ HNBR 172*3.6"</f>
        <v>اورينگ HNBR 172*3.6</v>
      </c>
      <c r="F580" s="3" t="str">
        <f t="shared" si="75"/>
        <v>عدد</v>
      </c>
      <c r="G580" s="3">
        <v>6</v>
      </c>
      <c r="H580" s="5">
        <v>1680000</v>
      </c>
    </row>
    <row r="581" spans="1:8" ht="18.75" x14ac:dyDescent="0.2">
      <c r="A581" s="3" t="str">
        <f t="shared" si="76"/>
        <v>98/11/26</v>
      </c>
      <c r="B581" s="3" t="str">
        <f t="shared" si="77"/>
        <v>كالاهاي مصرفي</v>
      </c>
      <c r="C581" s="3" t="str">
        <f>"انبار مركزي ( عمومي )"</f>
        <v>انبار مركزي ( عمومي )</v>
      </c>
      <c r="D581" s="3" t="str">
        <f>"0211000705"</f>
        <v>0211000705</v>
      </c>
      <c r="E581" s="3" t="str">
        <f>"قفل درب تابلو برق"</f>
        <v>قفل درب تابلو برق</v>
      </c>
      <c r="F581" s="3" t="str">
        <f t="shared" si="75"/>
        <v>عدد</v>
      </c>
      <c r="G581" s="3">
        <v>15</v>
      </c>
      <c r="H581" s="5">
        <v>1681401</v>
      </c>
    </row>
    <row r="582" spans="1:8" ht="18.75" x14ac:dyDescent="0.2">
      <c r="A582" s="3" t="str">
        <f t="shared" si="76"/>
        <v>98/11/26</v>
      </c>
      <c r="B582" s="3" t="str">
        <f t="shared" si="77"/>
        <v>كالاهاي مصرفي</v>
      </c>
      <c r="C582" s="3" t="str">
        <f>"انبار مركزي ( عمومي )"</f>
        <v>انبار مركزي ( عمومي )</v>
      </c>
      <c r="D582" s="3" t="str">
        <f>"0211000491"</f>
        <v>0211000491</v>
      </c>
      <c r="E582" s="3" t="str">
        <f>"لامپ پرژكتور  2000 وات"</f>
        <v>لامپ پرژكتور  2000 وات</v>
      </c>
      <c r="F582" s="3" t="str">
        <f t="shared" si="75"/>
        <v>عدد</v>
      </c>
      <c r="G582" s="3">
        <v>10</v>
      </c>
      <c r="H582" s="5">
        <v>1700000</v>
      </c>
    </row>
    <row r="583" spans="1:8" ht="18.75" x14ac:dyDescent="0.2">
      <c r="A583" s="3" t="str">
        <f t="shared" si="76"/>
        <v>98/11/26</v>
      </c>
      <c r="B583" s="3" t="str">
        <f t="shared" si="77"/>
        <v>كالاهاي مصرفي</v>
      </c>
      <c r="C583" s="3" t="str">
        <f>"انبار مركزي ( عمومي )"</f>
        <v>انبار مركزي ( عمومي )</v>
      </c>
      <c r="D583" s="3" t="str">
        <f>"0206000751"</f>
        <v>0206000751</v>
      </c>
      <c r="E583" s="3" t="str">
        <f>"بست كمربندي پلاستيكي 80 سانتي"</f>
        <v>بست كمربندي پلاستيكي 80 سانتي</v>
      </c>
      <c r="F583" s="3" t="str">
        <f>"بسته"</f>
        <v>بسته</v>
      </c>
      <c r="G583" s="3">
        <v>3</v>
      </c>
      <c r="H583" s="5">
        <v>1710000</v>
      </c>
    </row>
    <row r="584" spans="1:8" ht="18.75" x14ac:dyDescent="0.2">
      <c r="A584" s="3" t="str">
        <f t="shared" si="76"/>
        <v>98/11/26</v>
      </c>
      <c r="B584" s="3" t="str">
        <f t="shared" si="77"/>
        <v>كالاهاي مصرفي</v>
      </c>
      <c r="C584" s="3" t="str">
        <f>"انبار مصرفي ZU1"</f>
        <v>انبار مصرفي ZU1</v>
      </c>
      <c r="D584" s="3" t="str">
        <f>"0206000751"</f>
        <v>0206000751</v>
      </c>
      <c r="E584" s="3" t="str">
        <f>"بست كمربندي پلاستيكي 80 سانتي"</f>
        <v>بست كمربندي پلاستيكي 80 سانتي</v>
      </c>
      <c r="F584" s="3" t="str">
        <f>"بسته"</f>
        <v>بسته</v>
      </c>
      <c r="G584" s="3">
        <v>3</v>
      </c>
      <c r="H584" s="5">
        <v>1710000</v>
      </c>
    </row>
    <row r="585" spans="1:8" ht="18.75" x14ac:dyDescent="0.2">
      <c r="A585" s="3" t="str">
        <f t="shared" si="76"/>
        <v>98/11/26</v>
      </c>
      <c r="B585" s="3" t="str">
        <f t="shared" si="77"/>
        <v>كالاهاي مصرفي</v>
      </c>
      <c r="C585" s="3" t="str">
        <f>"انبار مصرفي ZU1"</f>
        <v>انبار مصرفي ZU1</v>
      </c>
      <c r="D585" s="3" t="str">
        <f>"0204000933"</f>
        <v>0204000933</v>
      </c>
      <c r="E585" s="3" t="str">
        <f>"خار چشمي DIN472 M70 داخلي"</f>
        <v>خار چشمي DIN472 M70 داخلي</v>
      </c>
      <c r="F585" s="3" t="str">
        <f>"عدد"</f>
        <v>عدد</v>
      </c>
      <c r="G585" s="3">
        <v>40</v>
      </c>
      <c r="H585" s="5">
        <v>1710500</v>
      </c>
    </row>
    <row r="586" spans="1:8" ht="18.75" x14ac:dyDescent="0.2">
      <c r="A586" s="3" t="str">
        <f t="shared" si="76"/>
        <v>98/11/26</v>
      </c>
      <c r="B586" s="3" t="str">
        <f t="shared" si="77"/>
        <v>كالاهاي مصرفي</v>
      </c>
      <c r="C586" s="3" t="str">
        <f>"انبار مصرفي ZU1"</f>
        <v>انبار مصرفي ZU1</v>
      </c>
      <c r="D586" s="3" t="str">
        <f>"0213000205"</f>
        <v>0213000205</v>
      </c>
      <c r="E586" s="3" t="str">
        <f>"واشر مسي M42"</f>
        <v>واشر مسي M42</v>
      </c>
      <c r="F586" s="3" t="str">
        <f>"عدد"</f>
        <v>عدد</v>
      </c>
      <c r="G586" s="3">
        <v>80</v>
      </c>
      <c r="H586" s="5">
        <v>1728000</v>
      </c>
    </row>
    <row r="587" spans="1:8" ht="18.75" x14ac:dyDescent="0.2">
      <c r="A587" s="3" t="str">
        <f t="shared" si="76"/>
        <v>98/11/26</v>
      </c>
      <c r="B587" s="3" t="str">
        <f t="shared" si="77"/>
        <v>كالاهاي مصرفي</v>
      </c>
      <c r="C587" s="3" t="str">
        <f>"انبار مصرفي ZU1"</f>
        <v>انبار مصرفي ZU1</v>
      </c>
      <c r="D587" s="3" t="str">
        <f>"0204002304"</f>
        <v>0204002304</v>
      </c>
      <c r="E587" s="3" t="str">
        <f>"كاسه نمد 10*62*42"</f>
        <v>كاسه نمد 10*62*42</v>
      </c>
      <c r="F587" s="3" t="str">
        <f>"عدد"</f>
        <v>عدد</v>
      </c>
      <c r="G587" s="3">
        <v>5</v>
      </c>
      <c r="H587" s="5">
        <v>1750000</v>
      </c>
    </row>
    <row r="588" spans="1:8" ht="18.75" x14ac:dyDescent="0.2">
      <c r="A588" s="3" t="str">
        <f t="shared" si="76"/>
        <v>98/11/26</v>
      </c>
      <c r="B588" s="3" t="str">
        <f t="shared" si="77"/>
        <v>كالاهاي مصرفي</v>
      </c>
      <c r="C588" s="3" t="str">
        <f>"انبار مصرفي ZU1"</f>
        <v>انبار مصرفي ZU1</v>
      </c>
      <c r="D588" s="3" t="str">
        <f>"0204002398"</f>
        <v>0204002398</v>
      </c>
      <c r="E588" s="3" t="str">
        <f>"كاسه نمد  10*47*25"</f>
        <v>كاسه نمد  10*47*25</v>
      </c>
      <c r="F588" s="3" t="str">
        <f>"عدد"</f>
        <v>عدد</v>
      </c>
      <c r="G588" s="3">
        <v>5</v>
      </c>
      <c r="H588" s="5">
        <v>1750000</v>
      </c>
    </row>
    <row r="589" spans="1:8" ht="18.75" x14ac:dyDescent="0.2">
      <c r="A589" s="3" t="str">
        <f t="shared" si="76"/>
        <v>98/11/26</v>
      </c>
      <c r="B589" s="3" t="str">
        <f t="shared" si="77"/>
        <v>كالاهاي مصرفي</v>
      </c>
      <c r="C589" s="3" t="str">
        <f>"انبار مركزي ( عمومي )"</f>
        <v>انبار مركزي ( عمومي )</v>
      </c>
      <c r="D589" s="3" t="str">
        <f>"0206000454"</f>
        <v>0206000454</v>
      </c>
      <c r="E589" s="3" t="str">
        <f>"لوله خرطومي فلكسي بل نمره 16"</f>
        <v>لوله خرطومي فلكسي بل نمره 16</v>
      </c>
      <c r="F589" s="3" t="str">
        <f>"متر"</f>
        <v>متر</v>
      </c>
      <c r="G589" s="3">
        <v>25</v>
      </c>
      <c r="H589" s="5">
        <v>1750000</v>
      </c>
    </row>
    <row r="590" spans="1:8" ht="18.75" x14ac:dyDescent="0.2">
      <c r="A590" s="3" t="str">
        <f t="shared" si="76"/>
        <v>98/11/26</v>
      </c>
      <c r="B590" s="3" t="str">
        <f t="shared" si="77"/>
        <v>كالاهاي مصرفي</v>
      </c>
      <c r="C590" s="3" t="str">
        <f>"انبار مركزي ( عمومي )"</f>
        <v>انبار مركزي ( عمومي )</v>
      </c>
      <c r="D590" s="3" t="str">
        <f>"0211001037"</f>
        <v>0211001037</v>
      </c>
      <c r="E590" s="3" t="str">
        <f>"لامپ 24 ولت 150 وات هالوژني"</f>
        <v>لامپ 24 ولت 150 وات هالوژني</v>
      </c>
      <c r="F590" s="3" t="str">
        <f>"عدد"</f>
        <v>عدد</v>
      </c>
      <c r="G590" s="3">
        <v>50</v>
      </c>
      <c r="H590" s="5">
        <v>1750000</v>
      </c>
    </row>
    <row r="591" spans="1:8" ht="18.75" x14ac:dyDescent="0.2">
      <c r="A591" s="3" t="str">
        <f t="shared" si="76"/>
        <v>98/11/26</v>
      </c>
      <c r="B591" s="3" t="str">
        <f t="shared" si="77"/>
        <v>كالاهاي مصرفي</v>
      </c>
      <c r="C591" s="3" t="str">
        <f>"انبار مركزي ( عمومي )"</f>
        <v>انبار مركزي ( عمومي )</v>
      </c>
      <c r="D591" s="3" t="str">
        <f>"0213000739"</f>
        <v>0213000739</v>
      </c>
      <c r="E591" s="3" t="str">
        <f>"مته آهن نمره 9"</f>
        <v>مته آهن نمره 9</v>
      </c>
      <c r="F591" s="3" t="str">
        <f>"عدد"</f>
        <v>عدد</v>
      </c>
      <c r="G591" s="3">
        <v>16</v>
      </c>
      <c r="H591" s="5">
        <v>1750154</v>
      </c>
    </row>
    <row r="592" spans="1:8" ht="18.75" x14ac:dyDescent="0.2">
      <c r="A592" s="3" t="str">
        <f t="shared" si="76"/>
        <v>98/11/26</v>
      </c>
      <c r="B592" s="3" t="str">
        <f t="shared" si="77"/>
        <v>كالاهاي مصرفي</v>
      </c>
      <c r="C592" s="3" t="str">
        <f t="shared" ref="C592:C598" si="78">"انبار مصرفي ZU1"</f>
        <v>انبار مصرفي ZU1</v>
      </c>
      <c r="D592" s="3" t="str">
        <f>"0204000944"</f>
        <v>0204000944</v>
      </c>
      <c r="E592" s="3" t="str">
        <f>"خار چشمي DIN471 M90 خارجي"</f>
        <v>خار چشمي DIN471 M90 خارجي</v>
      </c>
      <c r="F592" s="3" t="str">
        <f>"عدد"</f>
        <v>عدد</v>
      </c>
      <c r="G592" s="3">
        <v>30</v>
      </c>
      <c r="H592" s="5">
        <v>1753500</v>
      </c>
    </row>
    <row r="593" spans="1:8" ht="18.75" x14ac:dyDescent="0.2">
      <c r="A593" s="3" t="str">
        <f t="shared" si="76"/>
        <v>98/11/26</v>
      </c>
      <c r="B593" s="3" t="str">
        <f t="shared" si="77"/>
        <v>كالاهاي مصرفي</v>
      </c>
      <c r="C593" s="3" t="str">
        <f t="shared" si="78"/>
        <v>انبار مصرفي ZU1</v>
      </c>
      <c r="D593" s="3" t="str">
        <f>"0211001744"</f>
        <v>0211001744</v>
      </c>
      <c r="E593" s="3" t="str">
        <f>"شيم پليت ضخامت 0/7 به ابعاد 50 *50"</f>
        <v>شيم پليت ضخامت 0/7 به ابعاد 50 *50</v>
      </c>
      <c r="F593" s="3" t="str">
        <f>"عدد"</f>
        <v>عدد</v>
      </c>
      <c r="G593" s="3">
        <v>10</v>
      </c>
      <c r="H593" s="5">
        <v>1770000</v>
      </c>
    </row>
    <row r="594" spans="1:8" ht="18.75" x14ac:dyDescent="0.2">
      <c r="A594" s="3" t="str">
        <f t="shared" si="76"/>
        <v>98/11/26</v>
      </c>
      <c r="B594" s="3" t="str">
        <f t="shared" si="77"/>
        <v>كالاهاي مصرفي</v>
      </c>
      <c r="C594" s="3" t="str">
        <f t="shared" si="78"/>
        <v>انبار مصرفي ZU1</v>
      </c>
      <c r="D594" s="3" t="str">
        <f>"0105000144"</f>
        <v>0105000144</v>
      </c>
      <c r="E594" s="3" t="str">
        <f>"چسب مخصوص پانسمان ( چسب لو كو پلاست 5 سانتي )"</f>
        <v>چسب مخصوص پانسمان ( چسب لو كو پلاست 5 سانتي )</v>
      </c>
      <c r="F594" s="3" t="str">
        <f>"حلقه"</f>
        <v>حلقه</v>
      </c>
      <c r="G594" s="3">
        <v>74</v>
      </c>
      <c r="H594" s="5">
        <v>1772927</v>
      </c>
    </row>
    <row r="595" spans="1:8" ht="18.75" x14ac:dyDescent="0.2">
      <c r="A595" s="3" t="str">
        <f t="shared" si="76"/>
        <v>98/11/26</v>
      </c>
      <c r="B595" s="3" t="str">
        <f t="shared" si="77"/>
        <v>كالاهاي مصرفي</v>
      </c>
      <c r="C595" s="3" t="str">
        <f t="shared" si="78"/>
        <v>انبار مصرفي ZU1</v>
      </c>
      <c r="D595" s="3" t="str">
        <f>"0204000917"</f>
        <v>0204000917</v>
      </c>
      <c r="E595" s="3" t="str">
        <f>"خار چشمي DIN472 M50 داخلي"</f>
        <v>خار چشمي DIN472 M50 داخلي</v>
      </c>
      <c r="F595" s="3" t="str">
        <f>"عدد"</f>
        <v>عدد</v>
      </c>
      <c r="G595" s="3">
        <v>40</v>
      </c>
      <c r="H595" s="5">
        <v>1786300</v>
      </c>
    </row>
    <row r="596" spans="1:8" ht="18.75" x14ac:dyDescent="0.2">
      <c r="A596" s="3" t="str">
        <f t="shared" si="76"/>
        <v>98/11/26</v>
      </c>
      <c r="B596" s="3" t="str">
        <f t="shared" si="77"/>
        <v>كالاهاي مصرفي</v>
      </c>
      <c r="C596" s="3" t="str">
        <f t="shared" si="78"/>
        <v>انبار مصرفي ZU1</v>
      </c>
      <c r="D596" s="3" t="str">
        <f>"0204000923"</f>
        <v>0204000923</v>
      </c>
      <c r="E596" s="3" t="str">
        <f>"خار چشمي DIN472 M58 داخلي"</f>
        <v>خار چشمي DIN472 M58 داخلي</v>
      </c>
      <c r="F596" s="3" t="str">
        <f>"عدد"</f>
        <v>عدد</v>
      </c>
      <c r="G596" s="3">
        <v>40</v>
      </c>
      <c r="H596" s="5">
        <v>1791700</v>
      </c>
    </row>
    <row r="597" spans="1:8" ht="18.75" x14ac:dyDescent="0.2">
      <c r="A597" s="3" t="str">
        <f t="shared" si="76"/>
        <v>98/11/26</v>
      </c>
      <c r="B597" s="3" t="str">
        <f t="shared" si="77"/>
        <v>كالاهاي مصرفي</v>
      </c>
      <c r="C597" s="3" t="str">
        <f t="shared" si="78"/>
        <v>انبار مصرفي ZU1</v>
      </c>
      <c r="D597" s="3" t="str">
        <f>"0204001340"</f>
        <v>0204001340</v>
      </c>
      <c r="E597" s="3" t="str">
        <f>"اورينگ HNBR 116*4.0"</f>
        <v>اورينگ HNBR 116*4.0</v>
      </c>
      <c r="F597" s="3" t="str">
        <f>"عدد"</f>
        <v>عدد</v>
      </c>
      <c r="G597" s="3">
        <v>8</v>
      </c>
      <c r="H597" s="5">
        <v>1792000</v>
      </c>
    </row>
    <row r="598" spans="1:8" ht="18.75" x14ac:dyDescent="0.2">
      <c r="A598" s="3" t="str">
        <f t="shared" si="76"/>
        <v>98/11/26</v>
      </c>
      <c r="B598" s="3" t="str">
        <f t="shared" si="77"/>
        <v>كالاهاي مصرفي</v>
      </c>
      <c r="C598" s="3" t="str">
        <f t="shared" si="78"/>
        <v>انبار مصرفي ZU1</v>
      </c>
      <c r="D598" s="3" t="str">
        <f>"0103000201"</f>
        <v>0103000201</v>
      </c>
      <c r="E598" s="3" t="str">
        <f>"اسيد بوريك آزمايشگاهي"</f>
        <v>اسيد بوريك آزمايشگاهي</v>
      </c>
      <c r="F598" s="3" t="str">
        <f>"کيلوگرم"</f>
        <v>کيلوگرم</v>
      </c>
      <c r="G598" s="3">
        <v>1</v>
      </c>
      <c r="H598" s="5">
        <v>1800000</v>
      </c>
    </row>
    <row r="599" spans="1:8" ht="18.75" x14ac:dyDescent="0.2">
      <c r="A599" s="3" t="str">
        <f t="shared" si="76"/>
        <v>98/11/26</v>
      </c>
      <c r="B599" s="3" t="str">
        <f t="shared" si="77"/>
        <v>كالاهاي مصرفي</v>
      </c>
      <c r="C599" s="3" t="str">
        <f>"انبار مركزي ( عمومي )"</f>
        <v>انبار مركزي ( عمومي )</v>
      </c>
      <c r="D599" s="3" t="str">
        <f>"0203000243"</f>
        <v>0203000243</v>
      </c>
      <c r="E599" s="3" t="str">
        <f>"مته الماسه پنج شياره نمره 14"</f>
        <v>مته الماسه پنج شياره نمره 14</v>
      </c>
      <c r="F599" s="3" t="str">
        <f t="shared" ref="F599:F604" si="79">"عدد"</f>
        <v>عدد</v>
      </c>
      <c r="G599" s="3">
        <v>4</v>
      </c>
      <c r="H599" s="5">
        <v>1800000</v>
      </c>
    </row>
    <row r="600" spans="1:8" ht="18.75" x14ac:dyDescent="0.2">
      <c r="A600" s="3" t="str">
        <f t="shared" si="76"/>
        <v>98/11/26</v>
      </c>
      <c r="B600" s="3" t="str">
        <f t="shared" si="77"/>
        <v>كالاهاي مصرفي</v>
      </c>
      <c r="C600" s="3" t="str">
        <f>"انبار مصرفي ZU1"</f>
        <v>انبار مصرفي ZU1</v>
      </c>
      <c r="D600" s="3" t="str">
        <f>"0204001573"</f>
        <v>0204001573</v>
      </c>
      <c r="E600" s="3" t="str">
        <f>"كاسه نمد 12*100*130"</f>
        <v>كاسه نمد 12*100*130</v>
      </c>
      <c r="F600" s="3" t="str">
        <f t="shared" si="79"/>
        <v>عدد</v>
      </c>
      <c r="G600" s="3">
        <v>4</v>
      </c>
      <c r="H600" s="5">
        <v>1800000</v>
      </c>
    </row>
    <row r="601" spans="1:8" ht="18.75" x14ac:dyDescent="0.2">
      <c r="A601" s="3" t="str">
        <f t="shared" si="76"/>
        <v>98/11/26</v>
      </c>
      <c r="B601" s="3" t="str">
        <f t="shared" si="77"/>
        <v>كالاهاي مصرفي</v>
      </c>
      <c r="C601" s="3" t="str">
        <f>"انبار مصرفي ZU1"</f>
        <v>انبار مصرفي ZU1</v>
      </c>
      <c r="D601" s="3" t="str">
        <f>"0204001821"</f>
        <v>0204001821</v>
      </c>
      <c r="E601" s="3" t="str">
        <f>"كاسه نمد 7*52*32"</f>
        <v>كاسه نمد 7*52*32</v>
      </c>
      <c r="F601" s="3" t="str">
        <f t="shared" si="79"/>
        <v>عدد</v>
      </c>
      <c r="G601" s="3">
        <v>10</v>
      </c>
      <c r="H601" s="5">
        <v>1800000</v>
      </c>
    </row>
    <row r="602" spans="1:8" ht="18.75" x14ac:dyDescent="0.2">
      <c r="A602" s="3" t="str">
        <f t="shared" si="76"/>
        <v>98/11/26</v>
      </c>
      <c r="B602" s="3" t="str">
        <f t="shared" si="77"/>
        <v>كالاهاي مصرفي</v>
      </c>
      <c r="C602" s="3" t="str">
        <f>"انبار مركزي ( عمومي )"</f>
        <v>انبار مركزي ( عمومي )</v>
      </c>
      <c r="D602" s="3" t="str">
        <f>"0206000140"</f>
        <v>0206000140</v>
      </c>
      <c r="E602" s="3" t="str">
        <f>"زانو گالوانيزه  3/4 اينچ"</f>
        <v>زانو گالوانيزه  3/4 اينچ</v>
      </c>
      <c r="F602" s="3" t="str">
        <f t="shared" si="79"/>
        <v>عدد</v>
      </c>
      <c r="G602" s="3">
        <v>30</v>
      </c>
      <c r="H602" s="5">
        <v>1800000</v>
      </c>
    </row>
    <row r="603" spans="1:8" ht="18.75" x14ac:dyDescent="0.2">
      <c r="A603" s="3" t="str">
        <f t="shared" si="76"/>
        <v>98/11/26</v>
      </c>
      <c r="B603" s="3" t="str">
        <f t="shared" si="77"/>
        <v>كالاهاي مصرفي</v>
      </c>
      <c r="C603" s="3" t="str">
        <f>"انبار مركزي ( عمومي )"</f>
        <v>انبار مركزي ( عمومي )</v>
      </c>
      <c r="D603" s="3" t="str">
        <f>"0206000903"</f>
        <v>0206000903</v>
      </c>
      <c r="E603" s="3" t="str">
        <f>"بست پايه دار 1 اينچ"</f>
        <v>بست پايه دار 1 اينچ</v>
      </c>
      <c r="F603" s="3" t="str">
        <f t="shared" si="79"/>
        <v>عدد</v>
      </c>
      <c r="G603" s="3">
        <v>100</v>
      </c>
      <c r="H603" s="5">
        <v>1800000</v>
      </c>
    </row>
    <row r="604" spans="1:8" ht="18.75" x14ac:dyDescent="0.2">
      <c r="A604" s="3" t="str">
        <f t="shared" si="76"/>
        <v>98/11/26</v>
      </c>
      <c r="B604" s="3" t="str">
        <f t="shared" si="77"/>
        <v>كالاهاي مصرفي</v>
      </c>
      <c r="C604" s="3" t="str">
        <f>"انبار مصرفي ZU1"</f>
        <v>انبار مصرفي ZU1</v>
      </c>
      <c r="D604" s="3" t="str">
        <f>"0213000132"</f>
        <v>0213000132</v>
      </c>
      <c r="E604" s="3" t="str">
        <f>"واشر قفلي M32"</f>
        <v>واشر قفلي M32</v>
      </c>
      <c r="F604" s="3" t="str">
        <f t="shared" si="79"/>
        <v>عدد</v>
      </c>
      <c r="G604" s="3">
        <v>40</v>
      </c>
      <c r="H604" s="5">
        <v>1800000</v>
      </c>
    </row>
    <row r="605" spans="1:8" ht="18.75" x14ac:dyDescent="0.2">
      <c r="A605" s="3" t="str">
        <f t="shared" si="76"/>
        <v>98/11/26</v>
      </c>
      <c r="B605" s="3" t="str">
        <f t="shared" si="77"/>
        <v>كالاهاي مصرفي</v>
      </c>
      <c r="C605" s="3" t="str">
        <f>"انبار مصرفي ZU1"</f>
        <v>انبار مصرفي ZU1</v>
      </c>
      <c r="D605" s="3" t="str">
        <f>"0213000707"</f>
        <v>0213000707</v>
      </c>
      <c r="E605" s="3" t="str">
        <f>"سوهان مويي بسته 6 تايي"</f>
        <v>سوهان مويي بسته 6 تايي</v>
      </c>
      <c r="F605" s="3" t="str">
        <f>"سري"</f>
        <v>سري</v>
      </c>
      <c r="G605" s="3">
        <v>9</v>
      </c>
      <c r="H605" s="5">
        <v>1800000</v>
      </c>
    </row>
    <row r="606" spans="1:8" ht="18.75" x14ac:dyDescent="0.2">
      <c r="A606" s="3" t="str">
        <f t="shared" si="76"/>
        <v>98/11/26</v>
      </c>
      <c r="B606" s="3" t="str">
        <f t="shared" si="77"/>
        <v>كالاهاي مصرفي</v>
      </c>
      <c r="C606" s="3" t="str">
        <f>"انبار مركزي ( عمومي )"</f>
        <v>انبار مركزي ( عمومي )</v>
      </c>
      <c r="D606" s="3" t="str">
        <f>"0211000732"</f>
        <v>0211000732</v>
      </c>
      <c r="E606" s="3" t="str">
        <f>"طناب نخي 20mm"</f>
        <v>طناب نخي 20mm</v>
      </c>
      <c r="F606" s="3" t="str">
        <f>"متر"</f>
        <v>متر</v>
      </c>
      <c r="G606" s="3">
        <v>50</v>
      </c>
      <c r="H606" s="5">
        <v>1814286</v>
      </c>
    </row>
    <row r="607" spans="1:8" ht="18.75" x14ac:dyDescent="0.2">
      <c r="A607" s="3" t="str">
        <f t="shared" si="76"/>
        <v>98/11/26</v>
      </c>
      <c r="B607" s="3" t="str">
        <f t="shared" si="77"/>
        <v>كالاهاي مصرفي</v>
      </c>
      <c r="C607" s="3" t="str">
        <f>"انبار مركزي ( عمومي )"</f>
        <v>انبار مركزي ( عمومي )</v>
      </c>
      <c r="D607" s="3" t="str">
        <f>"0203000163"</f>
        <v>0203000163</v>
      </c>
      <c r="E607" s="3" t="str">
        <f>"رابط کوتاه آچار جغجغه اي"</f>
        <v>رابط کوتاه آچار جغجغه اي</v>
      </c>
      <c r="F607" s="3" t="str">
        <f t="shared" ref="F607:F619" si="80">"عدد"</f>
        <v>عدد</v>
      </c>
      <c r="G607" s="3">
        <v>16</v>
      </c>
      <c r="H607" s="5">
        <v>1820000</v>
      </c>
    </row>
    <row r="608" spans="1:8" ht="18.75" x14ac:dyDescent="0.2">
      <c r="A608" s="3" t="str">
        <f t="shared" si="76"/>
        <v>98/11/26</v>
      </c>
      <c r="B608" s="3" t="str">
        <f t="shared" si="77"/>
        <v>كالاهاي مصرفي</v>
      </c>
      <c r="C608" s="3" t="str">
        <f t="shared" ref="C608:C616" si="81">"انبار مصرفي ZU1"</f>
        <v>انبار مصرفي ZU1</v>
      </c>
      <c r="D608" s="3" t="str">
        <f>"0204001352"</f>
        <v>0204001352</v>
      </c>
      <c r="E608" s="3" t="str">
        <f>"اورينگ HNBR 68*5.3"</f>
        <v>اورينگ HNBR 68*5.3</v>
      </c>
      <c r="F608" s="3" t="str">
        <f t="shared" si="80"/>
        <v>عدد</v>
      </c>
      <c r="G608" s="3">
        <v>13</v>
      </c>
      <c r="H608" s="5">
        <v>1820000</v>
      </c>
    </row>
    <row r="609" spans="1:8" ht="18.75" x14ac:dyDescent="0.2">
      <c r="A609" s="3" t="str">
        <f t="shared" si="76"/>
        <v>98/11/26</v>
      </c>
      <c r="B609" s="3" t="str">
        <f t="shared" si="77"/>
        <v>كالاهاي مصرفي</v>
      </c>
      <c r="C609" s="3" t="str">
        <f t="shared" si="81"/>
        <v>انبار مصرفي ZU1</v>
      </c>
      <c r="D609" s="3" t="str">
        <f>"0204001357"</f>
        <v>0204001357</v>
      </c>
      <c r="E609" s="3" t="str">
        <f>"اورينگ HNBR 42*4.0"</f>
        <v>اورينگ HNBR 42*4.0</v>
      </c>
      <c r="F609" s="3" t="str">
        <f t="shared" si="80"/>
        <v>عدد</v>
      </c>
      <c r="G609" s="3">
        <v>13</v>
      </c>
      <c r="H609" s="5">
        <v>1820000</v>
      </c>
    </row>
    <row r="610" spans="1:8" ht="18.75" x14ac:dyDescent="0.2">
      <c r="A610" s="3" t="str">
        <f t="shared" si="76"/>
        <v>98/11/26</v>
      </c>
      <c r="B610" s="3" t="str">
        <f t="shared" si="77"/>
        <v>كالاهاي مصرفي</v>
      </c>
      <c r="C610" s="3" t="str">
        <f t="shared" si="81"/>
        <v>انبار مصرفي ZU1</v>
      </c>
      <c r="D610" s="3" t="str">
        <f>"0213000398"</f>
        <v>0213000398</v>
      </c>
      <c r="E610" s="3" t="str">
        <f>"پيچ يك سر رزوه كربن استيل M12*90"</f>
        <v>پيچ يك سر رزوه كربن استيل M12*90</v>
      </c>
      <c r="F610" s="3" t="str">
        <f t="shared" si="80"/>
        <v>عدد</v>
      </c>
      <c r="G610" s="3">
        <v>172</v>
      </c>
      <c r="H610" s="5">
        <v>1827718</v>
      </c>
    </row>
    <row r="611" spans="1:8" ht="18.75" x14ac:dyDescent="0.2">
      <c r="A611" s="3" t="str">
        <f t="shared" si="76"/>
        <v>98/11/26</v>
      </c>
      <c r="B611" s="3" t="str">
        <f t="shared" si="77"/>
        <v>كالاهاي مصرفي</v>
      </c>
      <c r="C611" s="3" t="str">
        <f t="shared" si="81"/>
        <v>انبار مصرفي ZU1</v>
      </c>
      <c r="D611" s="3" t="str">
        <f>"0204000942"</f>
        <v>0204000942</v>
      </c>
      <c r="E611" s="3" t="str">
        <f>"خار چشمي DIN471 M85 خارجي"</f>
        <v>خار چشمي DIN471 M85 خارجي</v>
      </c>
      <c r="F611" s="3" t="str">
        <f t="shared" si="80"/>
        <v>عدد</v>
      </c>
      <c r="G611" s="3">
        <v>30</v>
      </c>
      <c r="H611" s="5">
        <v>1833000</v>
      </c>
    </row>
    <row r="612" spans="1:8" ht="18.75" x14ac:dyDescent="0.2">
      <c r="A612" s="3" t="str">
        <f t="shared" si="76"/>
        <v>98/11/26</v>
      </c>
      <c r="B612" s="3" t="str">
        <f t="shared" si="77"/>
        <v>كالاهاي مصرفي</v>
      </c>
      <c r="C612" s="3" t="str">
        <f t="shared" si="81"/>
        <v>انبار مصرفي ZU1</v>
      </c>
      <c r="D612" s="3" t="str">
        <f>"0204001369"</f>
        <v>0204001369</v>
      </c>
      <c r="E612" s="3" t="str">
        <f>"اورينگ HNBR 210*4"</f>
        <v>اورينگ HNBR 210*4</v>
      </c>
      <c r="F612" s="3" t="str">
        <f t="shared" si="80"/>
        <v>عدد</v>
      </c>
      <c r="G612" s="3">
        <v>3</v>
      </c>
      <c r="H612" s="5">
        <v>1848000</v>
      </c>
    </row>
    <row r="613" spans="1:8" ht="18.75" x14ac:dyDescent="0.2">
      <c r="A613" s="3" t="str">
        <f t="shared" si="76"/>
        <v>98/11/26</v>
      </c>
      <c r="B613" s="3" t="str">
        <f t="shared" si="77"/>
        <v>كالاهاي مصرفي</v>
      </c>
      <c r="C613" s="3" t="str">
        <f t="shared" si="81"/>
        <v>انبار مصرفي ZU1</v>
      </c>
      <c r="D613" s="3" t="str">
        <f>"0206000527"</f>
        <v>0206000527</v>
      </c>
      <c r="E613" s="3" t="str">
        <f>"تبديل پلي اتيلن 250 *315 -16 اتمسفر - پي 100"</f>
        <v>تبديل پلي اتيلن 250 *315 -16 اتمسفر - پي 100</v>
      </c>
      <c r="F613" s="3" t="str">
        <f t="shared" si="80"/>
        <v>عدد</v>
      </c>
      <c r="G613" s="3">
        <v>1</v>
      </c>
      <c r="H613" s="5">
        <v>1850000</v>
      </c>
    </row>
    <row r="614" spans="1:8" ht="18.75" x14ac:dyDescent="0.2">
      <c r="A614" s="3" t="str">
        <f t="shared" si="76"/>
        <v>98/11/26</v>
      </c>
      <c r="B614" s="3" t="str">
        <f t="shared" si="77"/>
        <v>كالاهاي مصرفي</v>
      </c>
      <c r="C614" s="3" t="str">
        <f t="shared" si="81"/>
        <v>انبار مصرفي ZU1</v>
      </c>
      <c r="D614" s="3" t="str">
        <f>"0204000927"</f>
        <v>0204000927</v>
      </c>
      <c r="E614" s="3" t="str">
        <f>"خار چشمي DIN472 M62 داخلي"</f>
        <v>خار چشمي DIN472 M62 داخلي</v>
      </c>
      <c r="F614" s="3" t="str">
        <f t="shared" si="80"/>
        <v>عدد</v>
      </c>
      <c r="G614" s="3">
        <v>40</v>
      </c>
      <c r="H614" s="5">
        <v>1853800</v>
      </c>
    </row>
    <row r="615" spans="1:8" ht="18.75" x14ac:dyDescent="0.2">
      <c r="A615" s="3" t="str">
        <f t="shared" si="76"/>
        <v>98/11/26</v>
      </c>
      <c r="B615" s="3" t="str">
        <f t="shared" si="77"/>
        <v>كالاهاي مصرفي</v>
      </c>
      <c r="C615" s="3" t="str">
        <f t="shared" si="81"/>
        <v>انبار مصرفي ZU1</v>
      </c>
      <c r="D615" s="3" t="str">
        <f>"0204001374"</f>
        <v>0204001374</v>
      </c>
      <c r="E615" s="3" t="str">
        <f>"اورينگ HNBR 48*4.2"</f>
        <v>اورينگ HNBR 48*4.2</v>
      </c>
      <c r="F615" s="3" t="str">
        <f t="shared" si="80"/>
        <v>عدد</v>
      </c>
      <c r="G615" s="3">
        <v>20</v>
      </c>
      <c r="H615" s="5">
        <v>1860000</v>
      </c>
    </row>
    <row r="616" spans="1:8" ht="18.75" x14ac:dyDescent="0.2">
      <c r="A616" s="3" t="str">
        <f t="shared" si="76"/>
        <v>98/11/26</v>
      </c>
      <c r="B616" s="3" t="str">
        <f t="shared" si="77"/>
        <v>كالاهاي مصرفي</v>
      </c>
      <c r="C616" s="3" t="str">
        <f t="shared" si="81"/>
        <v>انبار مصرفي ZU1</v>
      </c>
      <c r="D616" s="3" t="str">
        <f>"0204001375"</f>
        <v>0204001375</v>
      </c>
      <c r="E616" s="3" t="str">
        <f>"اورينگ HNBR 46*3"</f>
        <v>اورينگ HNBR 46*3</v>
      </c>
      <c r="F616" s="3" t="str">
        <f t="shared" si="80"/>
        <v>عدد</v>
      </c>
      <c r="G616" s="3">
        <v>19</v>
      </c>
      <c r="H616" s="5">
        <v>1860000</v>
      </c>
    </row>
    <row r="617" spans="1:8" ht="18.75" x14ac:dyDescent="0.2">
      <c r="A617" s="3" t="str">
        <f t="shared" si="76"/>
        <v>98/11/26</v>
      </c>
      <c r="B617" s="3" t="str">
        <f t="shared" si="77"/>
        <v>كالاهاي مصرفي</v>
      </c>
      <c r="C617" s="3" t="str">
        <f>"انبار مركزي ( عمومي )"</f>
        <v>انبار مركزي ( عمومي )</v>
      </c>
      <c r="D617" s="3" t="str">
        <f>"0211001566"</f>
        <v>0211001566</v>
      </c>
      <c r="E617" s="3" t="str">
        <f>"پيمانه روغن 10 ليتري"</f>
        <v>پيمانه روغن 10 ليتري</v>
      </c>
      <c r="F617" s="3" t="str">
        <f t="shared" si="80"/>
        <v>عدد</v>
      </c>
      <c r="G617" s="3">
        <v>4</v>
      </c>
      <c r="H617" s="5">
        <v>1860000</v>
      </c>
    </row>
    <row r="618" spans="1:8" ht="18.75" x14ac:dyDescent="0.2">
      <c r="A618" s="3" t="str">
        <f t="shared" si="76"/>
        <v>98/11/26</v>
      </c>
      <c r="B618" s="3" t="str">
        <f t="shared" si="77"/>
        <v>كالاهاي مصرفي</v>
      </c>
      <c r="C618" s="3" t="str">
        <f t="shared" ref="C618:C629" si="82">"انبار مصرفي ZU1"</f>
        <v>انبار مصرفي ZU1</v>
      </c>
      <c r="D618" s="3" t="str">
        <f>"0204001322"</f>
        <v>0204001322</v>
      </c>
      <c r="E618" s="3" t="str">
        <f>"اورينگ HNBR 149*5.5"</f>
        <v>اورينگ HNBR 149*5.5</v>
      </c>
      <c r="F618" s="3" t="str">
        <f t="shared" si="80"/>
        <v>عدد</v>
      </c>
      <c r="G618" s="3">
        <v>8</v>
      </c>
      <c r="H618" s="5">
        <v>1864000</v>
      </c>
    </row>
    <row r="619" spans="1:8" ht="18.75" x14ac:dyDescent="0.2">
      <c r="A619" s="3" t="str">
        <f t="shared" si="76"/>
        <v>98/11/26</v>
      </c>
      <c r="B619" s="3" t="str">
        <f t="shared" si="77"/>
        <v>كالاهاي مصرفي</v>
      </c>
      <c r="C619" s="3" t="str">
        <f t="shared" si="82"/>
        <v>انبار مصرفي ZU1</v>
      </c>
      <c r="D619" s="3" t="str">
        <f>"0204001325"</f>
        <v>0204001325</v>
      </c>
      <c r="E619" s="3" t="str">
        <f>"اورينگ HNBR 143*4.0"</f>
        <v>اورينگ HNBR 143*4.0</v>
      </c>
      <c r="F619" s="3" t="str">
        <f t="shared" si="80"/>
        <v>عدد</v>
      </c>
      <c r="G619" s="3">
        <v>8</v>
      </c>
      <c r="H619" s="5">
        <v>1864000</v>
      </c>
    </row>
    <row r="620" spans="1:8" ht="18.75" x14ac:dyDescent="0.2">
      <c r="A620" s="3" t="str">
        <f t="shared" si="76"/>
        <v>98/11/26</v>
      </c>
      <c r="B620" s="3" t="str">
        <f t="shared" si="77"/>
        <v>كالاهاي مصرفي</v>
      </c>
      <c r="C620" s="3" t="str">
        <f t="shared" si="82"/>
        <v>انبار مصرفي ZU1</v>
      </c>
      <c r="D620" s="3" t="str">
        <f>"0204001432"</f>
        <v>0204001432</v>
      </c>
      <c r="E620" s="3" t="str">
        <f>"واشر پريشمان ضخامت 0/3  ميليمتر"</f>
        <v>واشر پريشمان ضخامت 0/3  ميليمتر</v>
      </c>
      <c r="F620" s="3" t="str">
        <f>"ورق"</f>
        <v>ورق</v>
      </c>
      <c r="G620" s="3">
        <v>3</v>
      </c>
      <c r="H620" s="5">
        <v>1865000</v>
      </c>
    </row>
    <row r="621" spans="1:8" ht="18.75" x14ac:dyDescent="0.2">
      <c r="A621" s="3" t="str">
        <f t="shared" si="76"/>
        <v>98/11/26</v>
      </c>
      <c r="B621" s="3" t="str">
        <f t="shared" si="77"/>
        <v>كالاهاي مصرفي</v>
      </c>
      <c r="C621" s="3" t="str">
        <f t="shared" si="82"/>
        <v>انبار مصرفي ZU1</v>
      </c>
      <c r="D621" s="3" t="str">
        <f>"0204000929"</f>
        <v>0204000929</v>
      </c>
      <c r="E621" s="3" t="str">
        <f>"خار چشمي DIN472 M65 داخلي"</f>
        <v>خار چشمي DIN472 M65 داخلي</v>
      </c>
      <c r="F621" s="3" t="str">
        <f>"عدد"</f>
        <v>عدد</v>
      </c>
      <c r="G621" s="3">
        <v>40</v>
      </c>
      <c r="H621" s="5">
        <v>1875400</v>
      </c>
    </row>
    <row r="622" spans="1:8" ht="18.75" x14ac:dyDescent="0.2">
      <c r="A622" s="3" t="str">
        <f t="shared" si="76"/>
        <v>98/11/26</v>
      </c>
      <c r="B622" s="3" t="str">
        <f t="shared" si="77"/>
        <v>كالاهاي مصرفي</v>
      </c>
      <c r="C622" s="3" t="str">
        <f t="shared" si="82"/>
        <v>انبار مصرفي ZU1</v>
      </c>
      <c r="D622" s="3" t="str">
        <f>"0204001802"</f>
        <v>0204001802</v>
      </c>
      <c r="E622" s="3" t="str">
        <f>"تسمه پروانه SPA -1900"</f>
        <v>تسمه پروانه SPA -1900</v>
      </c>
      <c r="F622" s="3" t="str">
        <f>"حلقه"</f>
        <v>حلقه</v>
      </c>
      <c r="G622" s="3">
        <v>5</v>
      </c>
      <c r="H622" s="5">
        <v>1877500</v>
      </c>
    </row>
    <row r="623" spans="1:8" ht="18.75" x14ac:dyDescent="0.2">
      <c r="A623" s="3" t="str">
        <f t="shared" si="76"/>
        <v>98/11/26</v>
      </c>
      <c r="B623" s="3" t="str">
        <f t="shared" si="77"/>
        <v>كالاهاي مصرفي</v>
      </c>
      <c r="C623" s="3" t="str">
        <f t="shared" si="82"/>
        <v>انبار مصرفي ZU1</v>
      </c>
      <c r="D623" s="3" t="str">
        <f>"0213000084"</f>
        <v>0213000084</v>
      </c>
      <c r="E623" s="3" t="str">
        <f>"واشر فنري M18"</f>
        <v>واشر فنري M18</v>
      </c>
      <c r="F623" s="3" t="str">
        <f t="shared" ref="F623:F628" si="83">"عدد"</f>
        <v>عدد</v>
      </c>
      <c r="G623" s="3">
        <v>737</v>
      </c>
      <c r="H623" s="5">
        <v>1883462</v>
      </c>
    </row>
    <row r="624" spans="1:8" ht="18.75" x14ac:dyDescent="0.2">
      <c r="A624" s="3" t="str">
        <f t="shared" si="76"/>
        <v>98/11/26</v>
      </c>
      <c r="B624" s="3" t="str">
        <f t="shared" si="77"/>
        <v>كالاهاي مصرفي</v>
      </c>
      <c r="C624" s="3" t="str">
        <f t="shared" si="82"/>
        <v>انبار مصرفي ZU1</v>
      </c>
      <c r="D624" s="3" t="str">
        <f>"0204000949"</f>
        <v>0204000949</v>
      </c>
      <c r="E624" s="3" t="str">
        <f>"بيرينگ 6210 2RS/C3"</f>
        <v>بيرينگ 6210 2RS/C3</v>
      </c>
      <c r="F624" s="3" t="str">
        <f t="shared" si="83"/>
        <v>عدد</v>
      </c>
      <c r="G624" s="3">
        <v>6</v>
      </c>
      <c r="H624" s="5">
        <v>1887000</v>
      </c>
    </row>
    <row r="625" spans="1:8" ht="18.75" x14ac:dyDescent="0.2">
      <c r="A625" s="3" t="str">
        <f t="shared" si="76"/>
        <v>98/11/26</v>
      </c>
      <c r="B625" s="3" t="str">
        <f t="shared" si="77"/>
        <v>كالاهاي مصرفي</v>
      </c>
      <c r="C625" s="3" t="str">
        <f t="shared" si="82"/>
        <v>انبار مصرفي ZU1</v>
      </c>
      <c r="D625" s="3" t="str">
        <f>"0213000406"</f>
        <v>0213000406</v>
      </c>
      <c r="E625" s="3" t="str">
        <f>"پيچ يك سر رزوه كربن استيل M16*55"</f>
        <v>پيچ يك سر رزوه كربن استيل M16*55</v>
      </c>
      <c r="F625" s="3" t="str">
        <f t="shared" si="83"/>
        <v>عدد</v>
      </c>
      <c r="G625" s="3">
        <v>78</v>
      </c>
      <c r="H625" s="5">
        <v>1904711</v>
      </c>
    </row>
    <row r="626" spans="1:8" ht="18.75" x14ac:dyDescent="0.2">
      <c r="A626" s="3" t="str">
        <f t="shared" si="76"/>
        <v>98/11/26</v>
      </c>
      <c r="B626" s="3" t="str">
        <f t="shared" si="77"/>
        <v>كالاهاي مصرفي</v>
      </c>
      <c r="C626" s="3" t="str">
        <f t="shared" si="82"/>
        <v>انبار مصرفي ZU1</v>
      </c>
      <c r="D626" s="3" t="str">
        <f>"0213000123"</f>
        <v>0213000123</v>
      </c>
      <c r="E626" s="3" t="str">
        <f>"واشر قفلي M14"</f>
        <v>واشر قفلي M14</v>
      </c>
      <c r="F626" s="3" t="str">
        <f t="shared" si="83"/>
        <v>عدد</v>
      </c>
      <c r="G626" s="3">
        <v>410</v>
      </c>
      <c r="H626" s="5">
        <v>1906500</v>
      </c>
    </row>
    <row r="627" spans="1:8" ht="18.75" x14ac:dyDescent="0.2">
      <c r="A627" s="3" t="str">
        <f t="shared" si="76"/>
        <v>98/11/26</v>
      </c>
      <c r="B627" s="3" t="str">
        <f t="shared" si="77"/>
        <v>كالاهاي مصرفي</v>
      </c>
      <c r="C627" s="3" t="str">
        <f t="shared" si="82"/>
        <v>انبار مصرفي ZU1</v>
      </c>
      <c r="D627" s="3" t="str">
        <f>"0204000611"</f>
        <v>0204000611</v>
      </c>
      <c r="E627" s="3" t="str">
        <f>"بيرينگ 51109"</f>
        <v>بيرينگ 51109</v>
      </c>
      <c r="F627" s="3" t="str">
        <f t="shared" si="83"/>
        <v>عدد</v>
      </c>
      <c r="G627" s="3">
        <v>4</v>
      </c>
      <c r="H627" s="5">
        <v>1920000</v>
      </c>
    </row>
    <row r="628" spans="1:8" ht="18.75" x14ac:dyDescent="0.2">
      <c r="A628" s="3" t="str">
        <f t="shared" si="76"/>
        <v>98/11/26</v>
      </c>
      <c r="B628" s="3" t="str">
        <f t="shared" si="77"/>
        <v>كالاهاي مصرفي</v>
      </c>
      <c r="C628" s="3" t="str">
        <f t="shared" si="82"/>
        <v>انبار مصرفي ZU1</v>
      </c>
      <c r="D628" s="3" t="str">
        <f>"0204001725"</f>
        <v>0204001725</v>
      </c>
      <c r="E628" s="3" t="str">
        <f>"بوش بيرينگ H208"</f>
        <v>بوش بيرينگ H208</v>
      </c>
      <c r="F628" s="3" t="str">
        <f t="shared" si="83"/>
        <v>عدد</v>
      </c>
      <c r="G628" s="3">
        <v>4</v>
      </c>
      <c r="H628" s="5">
        <v>1920000</v>
      </c>
    </row>
    <row r="629" spans="1:8" ht="18.75" x14ac:dyDescent="0.2">
      <c r="A629" s="3" t="str">
        <f t="shared" si="76"/>
        <v>98/11/26</v>
      </c>
      <c r="B629" s="3" t="str">
        <f t="shared" si="77"/>
        <v>كالاهاي مصرفي</v>
      </c>
      <c r="C629" s="3" t="str">
        <f t="shared" si="82"/>
        <v>انبار مصرفي ZU1</v>
      </c>
      <c r="D629" s="3" t="str">
        <f>"0204002078"</f>
        <v>0204002078</v>
      </c>
      <c r="E629" s="3" t="str">
        <f>"تسمه پروانه LiB 102"</f>
        <v>تسمه پروانه LiB 102</v>
      </c>
      <c r="F629" s="3" t="str">
        <f>"حلقه"</f>
        <v>حلقه</v>
      </c>
      <c r="G629" s="3">
        <v>3</v>
      </c>
      <c r="H629" s="5">
        <v>1920000</v>
      </c>
    </row>
    <row r="630" spans="1:8" ht="18.75" x14ac:dyDescent="0.2">
      <c r="A630" s="3" t="str">
        <f t="shared" si="76"/>
        <v>98/11/26</v>
      </c>
      <c r="B630" s="3" t="str">
        <f t="shared" si="77"/>
        <v>كالاهاي مصرفي</v>
      </c>
      <c r="C630" s="3" t="str">
        <f>"انبار مركزي ( عمومي )"</f>
        <v>انبار مركزي ( عمومي )</v>
      </c>
      <c r="D630" s="3" t="str">
        <f>"0213000638"</f>
        <v>0213000638</v>
      </c>
      <c r="E630" s="3" t="str">
        <f>"تسمه حمل بار شش متري"</f>
        <v>تسمه حمل بار شش متري</v>
      </c>
      <c r="F630" s="3" t="str">
        <f t="shared" ref="F630:F637" si="84">"عدد"</f>
        <v>عدد</v>
      </c>
      <c r="G630" s="3">
        <v>2</v>
      </c>
      <c r="H630" s="5">
        <v>1920000</v>
      </c>
    </row>
    <row r="631" spans="1:8" ht="18.75" x14ac:dyDescent="0.2">
      <c r="A631" s="3" t="str">
        <f t="shared" si="76"/>
        <v>98/11/26</v>
      </c>
      <c r="B631" s="3" t="str">
        <f t="shared" si="77"/>
        <v>كالاهاي مصرفي</v>
      </c>
      <c r="C631" s="3" t="str">
        <f>"انبار مصرفي ZU1"</f>
        <v>انبار مصرفي ZU1</v>
      </c>
      <c r="D631" s="3" t="str">
        <f>"0204001007"</f>
        <v>0204001007</v>
      </c>
      <c r="E631" s="3" t="str">
        <f>"خار چشمي DIN471 M100 خارجي"</f>
        <v>خار چشمي DIN471 M100 خارجي</v>
      </c>
      <c r="F631" s="3" t="str">
        <f t="shared" si="84"/>
        <v>عدد</v>
      </c>
      <c r="G631" s="3">
        <v>30</v>
      </c>
      <c r="H631" s="5">
        <v>1921000</v>
      </c>
    </row>
    <row r="632" spans="1:8" ht="18.75" x14ac:dyDescent="0.2">
      <c r="A632" s="3" t="str">
        <f t="shared" si="76"/>
        <v>98/11/26</v>
      </c>
      <c r="B632" s="3" t="str">
        <f t="shared" si="77"/>
        <v>كالاهاي مصرفي</v>
      </c>
      <c r="C632" s="3" t="str">
        <f>"انبار مصرفي ZU1"</f>
        <v>انبار مصرفي ZU1</v>
      </c>
      <c r="D632" s="3" t="str">
        <f>"0213000394"</f>
        <v>0213000394</v>
      </c>
      <c r="E632" s="3" t="str">
        <f>"پيچ يك سر رزوه كربن استيل M12*50"</f>
        <v>پيچ يك سر رزوه كربن استيل M12*50</v>
      </c>
      <c r="F632" s="3" t="str">
        <f t="shared" si="84"/>
        <v>عدد</v>
      </c>
      <c r="G632" s="3">
        <v>127</v>
      </c>
      <c r="H632" s="5">
        <v>1926294</v>
      </c>
    </row>
    <row r="633" spans="1:8" ht="18.75" x14ac:dyDescent="0.2">
      <c r="A633" s="3" t="str">
        <f t="shared" si="76"/>
        <v>98/11/26</v>
      </c>
      <c r="B633" s="3" t="str">
        <f t="shared" si="77"/>
        <v>كالاهاي مصرفي</v>
      </c>
      <c r="C633" s="3" t="str">
        <f>"انبار مركزي ( عمومي )"</f>
        <v>انبار مركزي ( عمومي )</v>
      </c>
      <c r="D633" s="3" t="str">
        <f>"0202000070"</f>
        <v>0202000070</v>
      </c>
      <c r="E633" s="3" t="str">
        <f>"كليد محافظ جان 63 آمپر"</f>
        <v>كليد محافظ جان 63 آمپر</v>
      </c>
      <c r="F633" s="3" t="str">
        <f t="shared" si="84"/>
        <v>عدد</v>
      </c>
      <c r="G633" s="3">
        <v>2</v>
      </c>
      <c r="H633" s="5">
        <v>1940000</v>
      </c>
    </row>
    <row r="634" spans="1:8" ht="18.75" x14ac:dyDescent="0.2">
      <c r="A634" s="3" t="str">
        <f t="shared" si="76"/>
        <v>98/11/26</v>
      </c>
      <c r="B634" s="3" t="str">
        <f t="shared" si="77"/>
        <v>كالاهاي مصرفي</v>
      </c>
      <c r="C634" s="3" t="str">
        <f>"انبار مصرفي ZU1"</f>
        <v>انبار مصرفي ZU1</v>
      </c>
      <c r="D634" s="3" t="str">
        <f>"0213000476"</f>
        <v>0213000476</v>
      </c>
      <c r="E634" s="3" t="str">
        <f>"مهره استنلس استيل M36"</f>
        <v>مهره استنلس استيل M36</v>
      </c>
      <c r="F634" s="3" t="str">
        <f t="shared" si="84"/>
        <v>عدد</v>
      </c>
      <c r="G634" s="3">
        <v>12</v>
      </c>
      <c r="H634" s="5">
        <v>1944000</v>
      </c>
    </row>
    <row r="635" spans="1:8" ht="18.75" x14ac:dyDescent="0.2">
      <c r="A635" s="3" t="str">
        <f t="shared" si="76"/>
        <v>98/11/26</v>
      </c>
      <c r="B635" s="3" t="str">
        <f t="shared" si="77"/>
        <v>كالاهاي مصرفي</v>
      </c>
      <c r="C635" s="3" t="str">
        <f>"انبار مصرفي ZU1"</f>
        <v>انبار مصرفي ZU1</v>
      </c>
      <c r="D635" s="3" t="str">
        <f>"0204001377"</f>
        <v>0204001377</v>
      </c>
      <c r="E635" s="3" t="str">
        <f>"اورينگ HNBR 40*5"</f>
        <v>اورينگ HNBR 40*5</v>
      </c>
      <c r="F635" s="3" t="str">
        <f t="shared" si="84"/>
        <v>عدد</v>
      </c>
      <c r="G635" s="3">
        <v>14</v>
      </c>
      <c r="H635" s="5">
        <v>1946000</v>
      </c>
    </row>
    <row r="636" spans="1:8" ht="18.75" x14ac:dyDescent="0.2">
      <c r="A636" s="3" t="str">
        <f t="shared" si="76"/>
        <v>98/11/26</v>
      </c>
      <c r="B636" s="3" t="str">
        <f t="shared" si="77"/>
        <v>كالاهاي مصرفي</v>
      </c>
      <c r="C636" s="3" t="str">
        <f>"انبار مركزي ( عمومي )"</f>
        <v>انبار مركزي ( عمومي )</v>
      </c>
      <c r="D636" s="3" t="str">
        <f>"0213000624"</f>
        <v>0213000624</v>
      </c>
      <c r="E636" s="3" t="str">
        <f>"مته الماسه معمولي نمره 5"</f>
        <v>مته الماسه معمولي نمره 5</v>
      </c>
      <c r="F636" s="3" t="str">
        <f t="shared" si="84"/>
        <v>عدد</v>
      </c>
      <c r="G636" s="3">
        <v>31</v>
      </c>
      <c r="H636" s="5">
        <v>1958637</v>
      </c>
    </row>
    <row r="637" spans="1:8" ht="18.75" x14ac:dyDescent="0.2">
      <c r="A637" s="3" t="str">
        <f t="shared" si="76"/>
        <v>98/11/26</v>
      </c>
      <c r="B637" s="3" t="str">
        <f t="shared" si="77"/>
        <v>كالاهاي مصرفي</v>
      </c>
      <c r="C637" s="3" t="str">
        <f>"انبار مصرفي ZU1"</f>
        <v>انبار مصرفي ZU1</v>
      </c>
      <c r="D637" s="3" t="str">
        <f>"0204001721"</f>
        <v>0204001721</v>
      </c>
      <c r="E637" s="3" t="str">
        <f>"بيرينگ 42212"</f>
        <v>بيرينگ 42212</v>
      </c>
      <c r="F637" s="3" t="str">
        <f t="shared" si="84"/>
        <v>عدد</v>
      </c>
      <c r="G637" s="3">
        <v>2</v>
      </c>
      <c r="H637" s="5">
        <v>1960000</v>
      </c>
    </row>
    <row r="638" spans="1:8" ht="18.75" x14ac:dyDescent="0.2">
      <c r="A638" s="3" t="str">
        <f t="shared" si="76"/>
        <v>98/11/26</v>
      </c>
      <c r="B638" s="3" t="str">
        <f t="shared" si="77"/>
        <v>كالاهاي مصرفي</v>
      </c>
      <c r="C638" s="3" t="str">
        <f>"انبار مركزي ( عمومي )"</f>
        <v>انبار مركزي ( عمومي )</v>
      </c>
      <c r="D638" s="3" t="str">
        <f>"0213000700"</f>
        <v>0213000700</v>
      </c>
      <c r="E638" s="3" t="str">
        <f>"پوساب P800 معمولي"</f>
        <v>پوساب P800 معمولي</v>
      </c>
      <c r="F638" s="3" t="str">
        <f>"برگ"</f>
        <v>برگ</v>
      </c>
      <c r="G638" s="3">
        <v>100</v>
      </c>
      <c r="H638" s="5">
        <v>1966667</v>
      </c>
    </row>
    <row r="639" spans="1:8" ht="18.75" x14ac:dyDescent="0.2">
      <c r="A639" s="3" t="str">
        <f t="shared" si="76"/>
        <v>98/11/26</v>
      </c>
      <c r="B639" s="3" t="str">
        <f t="shared" si="77"/>
        <v>كالاهاي مصرفي</v>
      </c>
      <c r="C639" s="3" t="str">
        <f>"انبار مصرفي ZU1"</f>
        <v>انبار مصرفي ZU1</v>
      </c>
      <c r="D639" s="3" t="str">
        <f>"0204001013"</f>
        <v>0204001013</v>
      </c>
      <c r="E639" s="3" t="str">
        <f>"تسمه پروانه  XPA 1150"</f>
        <v>تسمه پروانه  XPA 1150</v>
      </c>
      <c r="F639" s="3" t="str">
        <f t="shared" ref="F639:F644" si="85">"عدد"</f>
        <v>عدد</v>
      </c>
      <c r="G639" s="3">
        <v>10</v>
      </c>
      <c r="H639" s="5">
        <v>1980000</v>
      </c>
    </row>
    <row r="640" spans="1:8" ht="18.75" x14ac:dyDescent="0.2">
      <c r="A640" s="3" t="str">
        <f t="shared" si="76"/>
        <v>98/11/26</v>
      </c>
      <c r="B640" s="3" t="str">
        <f t="shared" si="77"/>
        <v>كالاهاي مصرفي</v>
      </c>
      <c r="C640" s="3" t="str">
        <f>"انبار مصرفي ZU1"</f>
        <v>انبار مصرفي ZU1</v>
      </c>
      <c r="D640" s="3" t="str">
        <f>"0206000516"</f>
        <v>0206000516</v>
      </c>
      <c r="E640" s="3" t="str">
        <f>"زانو پلي اتيلن 90*250 - 16 بار- پي 100"</f>
        <v>زانو پلي اتيلن 90*250 - 16 بار- پي 100</v>
      </c>
      <c r="F640" s="3" t="str">
        <f t="shared" si="85"/>
        <v>عدد</v>
      </c>
      <c r="G640" s="3">
        <v>1</v>
      </c>
      <c r="H640" s="5">
        <v>1980000</v>
      </c>
    </row>
    <row r="641" spans="1:8" ht="18.75" x14ac:dyDescent="0.2">
      <c r="A641" s="3" t="str">
        <f t="shared" si="76"/>
        <v>98/11/26</v>
      </c>
      <c r="B641" s="3" t="str">
        <f t="shared" si="77"/>
        <v>كالاهاي مصرفي</v>
      </c>
      <c r="C641" s="3" t="str">
        <f>"انبار مصرفي ZU1"</f>
        <v>انبار مصرفي ZU1</v>
      </c>
      <c r="D641" s="3" t="str">
        <f>"0209000407"</f>
        <v>0209000407</v>
      </c>
      <c r="E641" s="3" t="str">
        <f>"پين چرخ دنده دمپر تهويه"</f>
        <v>پين چرخ دنده دمپر تهويه</v>
      </c>
      <c r="F641" s="3" t="str">
        <f t="shared" si="85"/>
        <v>عدد</v>
      </c>
      <c r="G641" s="3">
        <v>180</v>
      </c>
      <c r="H641" s="5">
        <v>1980000</v>
      </c>
    </row>
    <row r="642" spans="1:8" ht="18.75" x14ac:dyDescent="0.2">
      <c r="A642" s="3" t="str">
        <f t="shared" ref="A642:A705" si="86">"98/11/26"</f>
        <v>98/11/26</v>
      </c>
      <c r="B642" s="3" t="str">
        <f t="shared" ref="B642:B705" si="87">"كالاهاي مصرفي"</f>
        <v>كالاهاي مصرفي</v>
      </c>
      <c r="C642" s="3" t="str">
        <f>"انبار مركزي ( عمومي )"</f>
        <v>انبار مركزي ( عمومي )</v>
      </c>
      <c r="D642" s="3" t="str">
        <f>"0202000401"</f>
        <v>0202000401</v>
      </c>
      <c r="E642" s="3" t="str">
        <f>"ليميت سويچ غلطكي"</f>
        <v>ليميت سويچ غلطكي</v>
      </c>
      <c r="F642" s="3" t="str">
        <f t="shared" si="85"/>
        <v>عدد</v>
      </c>
      <c r="G642" s="3">
        <v>2</v>
      </c>
      <c r="H642" s="5">
        <v>2000000</v>
      </c>
    </row>
    <row r="643" spans="1:8" ht="18.75" x14ac:dyDescent="0.2">
      <c r="A643" s="3" t="str">
        <f t="shared" si="86"/>
        <v>98/11/26</v>
      </c>
      <c r="B643" s="3" t="str">
        <f t="shared" si="87"/>
        <v>كالاهاي مصرفي</v>
      </c>
      <c r="C643" s="3" t="str">
        <f>"انبار مصرفي ZU1"</f>
        <v>انبار مصرفي ZU1</v>
      </c>
      <c r="D643" s="3" t="str">
        <f>"0204000113"</f>
        <v>0204000113</v>
      </c>
      <c r="E643" s="3" t="str">
        <f>"بيرينگ 3308-ATN9/C2"</f>
        <v>بيرينگ 3308-ATN9/C2</v>
      </c>
      <c r="F643" s="3" t="str">
        <f t="shared" si="85"/>
        <v>عدد</v>
      </c>
      <c r="G643" s="3">
        <v>2</v>
      </c>
      <c r="H643" s="5">
        <v>2000000</v>
      </c>
    </row>
    <row r="644" spans="1:8" ht="18.75" x14ac:dyDescent="0.2">
      <c r="A644" s="3" t="str">
        <f t="shared" si="86"/>
        <v>98/11/26</v>
      </c>
      <c r="B644" s="3" t="str">
        <f t="shared" si="87"/>
        <v>كالاهاي مصرفي</v>
      </c>
      <c r="C644" s="3" t="str">
        <f>"انبار مصرفي ZU1"</f>
        <v>انبار مصرفي ZU1</v>
      </c>
      <c r="D644" s="3" t="str">
        <f>"0204001297"</f>
        <v>0204001297</v>
      </c>
      <c r="E644" s="3" t="str">
        <f>"کاسه نمد 4*52*40"</f>
        <v>کاسه نمد 4*52*40</v>
      </c>
      <c r="F644" s="3" t="str">
        <f t="shared" si="85"/>
        <v>عدد</v>
      </c>
      <c r="G644" s="3">
        <v>8</v>
      </c>
      <c r="H644" s="5">
        <v>2000000</v>
      </c>
    </row>
    <row r="645" spans="1:8" ht="18.75" x14ac:dyDescent="0.2">
      <c r="A645" s="3" t="str">
        <f t="shared" si="86"/>
        <v>98/11/26</v>
      </c>
      <c r="B645" s="3" t="str">
        <f t="shared" si="87"/>
        <v>كالاهاي مصرفي</v>
      </c>
      <c r="C645" s="3" t="str">
        <f>"انبار مصرفي ZU1"</f>
        <v>انبار مصرفي ZU1</v>
      </c>
      <c r="D645" s="3" t="str">
        <f>"0204001505"</f>
        <v>0204001505</v>
      </c>
      <c r="E645" s="3" t="str">
        <f>"نوار سيليكون 12*12"</f>
        <v>نوار سيليكون 12*12</v>
      </c>
      <c r="F645" s="3" t="str">
        <f>"متر"</f>
        <v>متر</v>
      </c>
      <c r="G645" s="3">
        <v>10</v>
      </c>
      <c r="H645" s="5">
        <v>2000000</v>
      </c>
    </row>
    <row r="646" spans="1:8" ht="18.75" x14ac:dyDescent="0.2">
      <c r="A646" s="3" t="str">
        <f t="shared" si="86"/>
        <v>98/11/26</v>
      </c>
      <c r="B646" s="3" t="str">
        <f t="shared" si="87"/>
        <v>كالاهاي مصرفي</v>
      </c>
      <c r="C646" s="3" t="str">
        <f>"انبار مركزي ( عمومي )"</f>
        <v>انبار مركزي ( عمومي )</v>
      </c>
      <c r="D646" s="3" t="str">
        <f>"0206000368"</f>
        <v>0206000368</v>
      </c>
      <c r="E646" s="3" t="str">
        <f>"بست پايه دار 1/2 اينچ ديواري"</f>
        <v>بست پايه دار 1/2 اينچ ديواري</v>
      </c>
      <c r="F646" s="3" t="str">
        <f t="shared" ref="F646:F654" si="88">"عدد"</f>
        <v>عدد</v>
      </c>
      <c r="G646" s="3">
        <v>200</v>
      </c>
      <c r="H646" s="5">
        <v>2000000</v>
      </c>
    </row>
    <row r="647" spans="1:8" ht="18.75" x14ac:dyDescent="0.2">
      <c r="A647" s="3" t="str">
        <f t="shared" si="86"/>
        <v>98/11/26</v>
      </c>
      <c r="B647" s="3" t="str">
        <f t="shared" si="87"/>
        <v>كالاهاي مصرفي</v>
      </c>
      <c r="C647" s="3" t="str">
        <f>"انبار مركزي ( عمومي )"</f>
        <v>انبار مركزي ( عمومي )</v>
      </c>
      <c r="D647" s="3" t="str">
        <f>"0206000487"</f>
        <v>0206000487</v>
      </c>
      <c r="E647" s="3" t="str">
        <f>"مغزي شير مخلوط دسته اهرمي"</f>
        <v>مغزي شير مخلوط دسته اهرمي</v>
      </c>
      <c r="F647" s="3" t="str">
        <f t="shared" si="88"/>
        <v>عدد</v>
      </c>
      <c r="G647" s="3">
        <v>20</v>
      </c>
      <c r="H647" s="5">
        <v>2000000</v>
      </c>
    </row>
    <row r="648" spans="1:8" ht="18.75" x14ac:dyDescent="0.2">
      <c r="A648" s="3" t="str">
        <f t="shared" si="86"/>
        <v>98/11/26</v>
      </c>
      <c r="B648" s="3" t="str">
        <f t="shared" si="87"/>
        <v>كالاهاي مصرفي</v>
      </c>
      <c r="C648" s="3" t="str">
        <f>"انبار مركزي ( عمومي )"</f>
        <v>انبار مركزي ( عمومي )</v>
      </c>
      <c r="D648" s="3" t="str">
        <f>"0211001941"</f>
        <v>0211001941</v>
      </c>
      <c r="E648" s="3" t="str">
        <f>"مفصل کوچک انگشتي مسي سايز 4"</f>
        <v>مفصل کوچک انگشتي مسي سايز 4</v>
      </c>
      <c r="F648" s="3" t="str">
        <f t="shared" si="88"/>
        <v>عدد</v>
      </c>
      <c r="G648" s="3">
        <v>200</v>
      </c>
      <c r="H648" s="5">
        <v>2000000</v>
      </c>
    </row>
    <row r="649" spans="1:8" ht="18.75" x14ac:dyDescent="0.2">
      <c r="A649" s="3" t="str">
        <f t="shared" si="86"/>
        <v>98/11/26</v>
      </c>
      <c r="B649" s="3" t="str">
        <f t="shared" si="87"/>
        <v>كالاهاي مصرفي</v>
      </c>
      <c r="C649" s="3" t="str">
        <f>"انبار مصرفي ZU1"</f>
        <v>انبار مصرفي ZU1</v>
      </c>
      <c r="D649" s="3" t="str">
        <f>"0211001946"</f>
        <v>0211001946</v>
      </c>
      <c r="E649" s="3" t="str">
        <f>"مكانيكال سيل MG1 قطر 25"</f>
        <v>مكانيكال سيل MG1 قطر 25</v>
      </c>
      <c r="F649" s="3" t="str">
        <f t="shared" si="88"/>
        <v>عدد</v>
      </c>
      <c r="G649" s="3">
        <v>1</v>
      </c>
      <c r="H649" s="5">
        <v>2000000</v>
      </c>
    </row>
    <row r="650" spans="1:8" ht="18.75" x14ac:dyDescent="0.2">
      <c r="A650" s="3" t="str">
        <f t="shared" si="86"/>
        <v>98/11/26</v>
      </c>
      <c r="B650" s="3" t="str">
        <f t="shared" si="87"/>
        <v>كالاهاي مصرفي</v>
      </c>
      <c r="C650" s="3" t="str">
        <f>"انبار مصرفي ZU1"</f>
        <v>انبار مصرفي ZU1</v>
      </c>
      <c r="D650" s="3" t="str">
        <f>"0213000133"</f>
        <v>0213000133</v>
      </c>
      <c r="E650" s="3" t="str">
        <f>"واشر قفلي M34"</f>
        <v>واشر قفلي M34</v>
      </c>
      <c r="F650" s="3" t="str">
        <f t="shared" si="88"/>
        <v>عدد</v>
      </c>
      <c r="G650" s="3">
        <v>40</v>
      </c>
      <c r="H650" s="5">
        <v>2000000</v>
      </c>
    </row>
    <row r="651" spans="1:8" ht="18.75" x14ac:dyDescent="0.2">
      <c r="A651" s="3" t="str">
        <f t="shared" si="86"/>
        <v>98/11/26</v>
      </c>
      <c r="B651" s="3" t="str">
        <f t="shared" si="87"/>
        <v>كالاهاي مصرفي</v>
      </c>
      <c r="C651" s="3" t="str">
        <f>"انبار مصرفي ZU1"</f>
        <v>انبار مصرفي ZU1</v>
      </c>
      <c r="D651" s="3" t="str">
        <f>"0204000972"</f>
        <v>0204000972</v>
      </c>
      <c r="E651" s="3" t="str">
        <f>"بيرينگ 6310 2RS"</f>
        <v>بيرينگ 6310 2RS</v>
      </c>
      <c r="F651" s="3" t="str">
        <f t="shared" si="88"/>
        <v>عدد</v>
      </c>
      <c r="G651" s="3">
        <v>2</v>
      </c>
      <c r="H651" s="5">
        <v>2024000</v>
      </c>
    </row>
    <row r="652" spans="1:8" ht="18.75" x14ac:dyDescent="0.2">
      <c r="A652" s="3" t="str">
        <f t="shared" si="86"/>
        <v>98/11/26</v>
      </c>
      <c r="B652" s="3" t="str">
        <f t="shared" si="87"/>
        <v>كالاهاي مصرفي</v>
      </c>
      <c r="C652" s="3" t="str">
        <f>"انبار مصرفي ZU1"</f>
        <v>انبار مصرفي ZU1</v>
      </c>
      <c r="D652" s="3" t="str">
        <f>"0204001723"</f>
        <v>0204001723</v>
      </c>
      <c r="E652" s="3" t="str">
        <f>"بوش بيرينگ H312"</f>
        <v>بوش بيرينگ H312</v>
      </c>
      <c r="F652" s="3" t="str">
        <f t="shared" si="88"/>
        <v>عدد</v>
      </c>
      <c r="G652" s="3">
        <v>3</v>
      </c>
      <c r="H652" s="5">
        <v>2040000</v>
      </c>
    </row>
    <row r="653" spans="1:8" ht="18.75" x14ac:dyDescent="0.2">
      <c r="A653" s="3" t="str">
        <f t="shared" si="86"/>
        <v>98/11/26</v>
      </c>
      <c r="B653" s="3" t="str">
        <f t="shared" si="87"/>
        <v>كالاهاي مصرفي</v>
      </c>
      <c r="C653" s="3" t="str">
        <f>"انبار مصرفي ZU1"</f>
        <v>انبار مصرفي ZU1</v>
      </c>
      <c r="D653" s="3" t="str">
        <f>"0204001899"</f>
        <v>0204001899</v>
      </c>
      <c r="E653" s="3" t="str">
        <f>"بيرينگ 61908-2Z"</f>
        <v>بيرينگ 61908-2Z</v>
      </c>
      <c r="F653" s="3" t="str">
        <f t="shared" si="88"/>
        <v>عدد</v>
      </c>
      <c r="G653" s="3">
        <v>4</v>
      </c>
      <c r="H653" s="5">
        <v>2040000</v>
      </c>
    </row>
    <row r="654" spans="1:8" ht="18.75" x14ac:dyDescent="0.2">
      <c r="A654" s="3" t="str">
        <f t="shared" si="86"/>
        <v>98/11/26</v>
      </c>
      <c r="B654" s="3" t="str">
        <f t="shared" si="87"/>
        <v>كالاهاي مصرفي</v>
      </c>
      <c r="C654" s="3" t="str">
        <f>"انبار مركزي ( عمومي )"</f>
        <v>انبار مركزي ( عمومي )</v>
      </c>
      <c r="D654" s="3" t="str">
        <f>"0203000032"</f>
        <v>0203000032</v>
      </c>
      <c r="E654" s="3" t="str">
        <f>"آچار يكسر رينگ و يكسر تخت 17"</f>
        <v>آچار يكسر رينگ و يكسر تخت 17</v>
      </c>
      <c r="F654" s="3" t="str">
        <f t="shared" si="88"/>
        <v>عدد</v>
      </c>
      <c r="G654" s="3">
        <v>10</v>
      </c>
      <c r="H654" s="5">
        <v>2050000</v>
      </c>
    </row>
    <row r="655" spans="1:8" ht="18.75" x14ac:dyDescent="0.2">
      <c r="A655" s="3" t="str">
        <f t="shared" si="86"/>
        <v>98/11/26</v>
      </c>
      <c r="B655" s="3" t="str">
        <f t="shared" si="87"/>
        <v>كالاهاي مصرفي</v>
      </c>
      <c r="C655" s="3" t="str">
        <f>"انبار مصرفي ZU1"</f>
        <v>انبار مصرفي ZU1</v>
      </c>
      <c r="D655" s="3" t="str">
        <f>"0213001110"</f>
        <v>0213001110</v>
      </c>
      <c r="E655" s="3" t="str">
        <f>"پيچ تمام رزوه استنلس استيل M18"</f>
        <v>پيچ تمام رزوه استنلس استيل M18</v>
      </c>
      <c r="F655" s="3" t="str">
        <f>"متر"</f>
        <v>متر</v>
      </c>
      <c r="G655" s="3">
        <v>1</v>
      </c>
      <c r="H655" s="5">
        <v>2050000</v>
      </c>
    </row>
    <row r="656" spans="1:8" ht="18.75" x14ac:dyDescent="0.2">
      <c r="A656" s="3" t="str">
        <f t="shared" si="86"/>
        <v>98/11/26</v>
      </c>
      <c r="B656" s="3" t="str">
        <f t="shared" si="87"/>
        <v>كالاهاي مصرفي</v>
      </c>
      <c r="C656" s="3" t="str">
        <f>"انبار مركزي ( عمومي )"</f>
        <v>انبار مركزي ( عمومي )</v>
      </c>
      <c r="D656" s="3" t="str">
        <f>"0206000339"</f>
        <v>0206000339</v>
      </c>
      <c r="E656" s="3" t="str">
        <f>"تبديل سه شاخه به دوشاخه برق"</f>
        <v>تبديل سه شاخه به دوشاخه برق</v>
      </c>
      <c r="F656" s="3" t="str">
        <f>"عدد"</f>
        <v>عدد</v>
      </c>
      <c r="G656" s="3">
        <v>57</v>
      </c>
      <c r="H656" s="5">
        <v>2050527</v>
      </c>
    </row>
    <row r="657" spans="1:8" ht="18.75" x14ac:dyDescent="0.2">
      <c r="A657" s="3" t="str">
        <f t="shared" si="86"/>
        <v>98/11/26</v>
      </c>
      <c r="B657" s="3" t="str">
        <f t="shared" si="87"/>
        <v>كالاهاي مصرفي</v>
      </c>
      <c r="C657" s="3" t="str">
        <f>"انبار مصرفي ZU1"</f>
        <v>انبار مصرفي ZU1</v>
      </c>
      <c r="D657" s="3" t="str">
        <f>"0204000382"</f>
        <v>0204000382</v>
      </c>
      <c r="E657" s="3" t="str">
        <f>"بيرينگ 6206"</f>
        <v>بيرينگ 6206</v>
      </c>
      <c r="F657" s="3" t="str">
        <f>"عدد"</f>
        <v>عدد</v>
      </c>
      <c r="G657" s="3">
        <v>12</v>
      </c>
      <c r="H657" s="5">
        <v>2060870</v>
      </c>
    </row>
    <row r="658" spans="1:8" ht="18.75" x14ac:dyDescent="0.2">
      <c r="A658" s="3" t="str">
        <f t="shared" si="86"/>
        <v>98/11/26</v>
      </c>
      <c r="B658" s="3" t="str">
        <f t="shared" si="87"/>
        <v>كالاهاي مصرفي</v>
      </c>
      <c r="C658" s="3" t="str">
        <f>"انبار مصرفي ZU1"</f>
        <v>انبار مصرفي ZU1</v>
      </c>
      <c r="D658" s="3" t="str">
        <f>"0204000109"</f>
        <v>0204000109</v>
      </c>
      <c r="E658" s="3" t="str">
        <f>"تسمه پروانه XPA 1557"</f>
        <v>تسمه پروانه XPA 1557</v>
      </c>
      <c r="F658" s="3" t="str">
        <f>"حلقه"</f>
        <v>حلقه</v>
      </c>
      <c r="G658" s="3">
        <v>8</v>
      </c>
      <c r="H658" s="5">
        <v>2080000</v>
      </c>
    </row>
    <row r="659" spans="1:8" ht="18.75" x14ac:dyDescent="0.2">
      <c r="A659" s="3" t="str">
        <f t="shared" si="86"/>
        <v>98/11/26</v>
      </c>
      <c r="B659" s="3" t="str">
        <f t="shared" si="87"/>
        <v>كالاهاي مصرفي</v>
      </c>
      <c r="C659" s="3" t="str">
        <f>"انبار مركزي ( عمومي )"</f>
        <v>انبار مركزي ( عمومي )</v>
      </c>
      <c r="D659" s="3" t="str">
        <f>"0203000273"</f>
        <v>0203000273</v>
      </c>
      <c r="E659" s="3" t="str">
        <f>"آچار يكسر رينگ و يكسر تخت 18"</f>
        <v>آچار يكسر رينگ و يكسر تخت 18</v>
      </c>
      <c r="F659" s="3" t="str">
        <f t="shared" ref="F659:F668" si="89">"عدد"</f>
        <v>عدد</v>
      </c>
      <c r="G659" s="3">
        <v>10</v>
      </c>
      <c r="H659" s="5">
        <v>2100000</v>
      </c>
    </row>
    <row r="660" spans="1:8" ht="18.75" x14ac:dyDescent="0.2">
      <c r="A660" s="3" t="str">
        <f t="shared" si="86"/>
        <v>98/11/26</v>
      </c>
      <c r="B660" s="3" t="str">
        <f t="shared" si="87"/>
        <v>كالاهاي مصرفي</v>
      </c>
      <c r="C660" s="3" t="str">
        <f>"انبار مصرفي ZU1"</f>
        <v>انبار مصرفي ZU1</v>
      </c>
      <c r="D660" s="3" t="str">
        <f>"0204000308"</f>
        <v>0204000308</v>
      </c>
      <c r="E660" s="3" t="str">
        <f>"كاسه نمد 12*160*125"</f>
        <v>كاسه نمد 12*160*125</v>
      </c>
      <c r="F660" s="3" t="str">
        <f t="shared" si="89"/>
        <v>عدد</v>
      </c>
      <c r="G660" s="3">
        <v>2</v>
      </c>
      <c r="H660" s="5">
        <v>2100000</v>
      </c>
    </row>
    <row r="661" spans="1:8" ht="18.75" x14ac:dyDescent="0.2">
      <c r="A661" s="3" t="str">
        <f t="shared" si="86"/>
        <v>98/11/26</v>
      </c>
      <c r="B661" s="3" t="str">
        <f t="shared" si="87"/>
        <v>كالاهاي مصرفي</v>
      </c>
      <c r="C661" s="3" t="str">
        <f>"انبار مصرفي ZU1"</f>
        <v>انبار مصرفي ZU1</v>
      </c>
      <c r="D661" s="3" t="str">
        <f>"0204001100"</f>
        <v>0204001100</v>
      </c>
      <c r="E661" s="3" t="str">
        <f>"لرزه گير بيرينگ 6204"</f>
        <v>لرزه گير بيرينگ 6204</v>
      </c>
      <c r="F661" s="3" t="str">
        <f t="shared" si="89"/>
        <v>عدد</v>
      </c>
      <c r="G661" s="3">
        <v>70</v>
      </c>
      <c r="H661" s="5">
        <v>2100000</v>
      </c>
    </row>
    <row r="662" spans="1:8" ht="18.75" x14ac:dyDescent="0.2">
      <c r="A662" s="3" t="str">
        <f t="shared" si="86"/>
        <v>98/11/26</v>
      </c>
      <c r="B662" s="3" t="str">
        <f t="shared" si="87"/>
        <v>كالاهاي مصرفي</v>
      </c>
      <c r="C662" s="3" t="str">
        <f>"انبار مصرفي ZU1"</f>
        <v>انبار مصرفي ZU1</v>
      </c>
      <c r="D662" s="3" t="str">
        <f>"0204001205"</f>
        <v>0204001205</v>
      </c>
      <c r="E662" s="3" t="str">
        <f>"بيرينگ 31310 QCL7C/J2"</f>
        <v>بيرينگ 31310 QCL7C/J2</v>
      </c>
      <c r="F662" s="3" t="str">
        <f t="shared" si="89"/>
        <v>عدد</v>
      </c>
      <c r="G662" s="3">
        <v>1</v>
      </c>
      <c r="H662" s="5">
        <v>2100000</v>
      </c>
    </row>
    <row r="663" spans="1:8" ht="18.75" x14ac:dyDescent="0.2">
      <c r="A663" s="3" t="str">
        <f t="shared" si="86"/>
        <v>98/11/26</v>
      </c>
      <c r="B663" s="3" t="str">
        <f t="shared" si="87"/>
        <v>كالاهاي مصرفي</v>
      </c>
      <c r="C663" s="3" t="str">
        <f>"انبار مصرفي ZU1"</f>
        <v>انبار مصرفي ZU1</v>
      </c>
      <c r="D663" s="3" t="str">
        <f>"0204001228"</f>
        <v>0204001228</v>
      </c>
      <c r="E663" s="3" t="str">
        <f>"بيرينگ 6015"</f>
        <v>بيرينگ 6015</v>
      </c>
      <c r="F663" s="3" t="str">
        <f t="shared" si="89"/>
        <v>عدد</v>
      </c>
      <c r="G663" s="3">
        <v>5</v>
      </c>
      <c r="H663" s="5">
        <v>2100000</v>
      </c>
    </row>
    <row r="664" spans="1:8" ht="18.75" x14ac:dyDescent="0.2">
      <c r="A664" s="3" t="str">
        <f t="shared" si="86"/>
        <v>98/11/26</v>
      </c>
      <c r="B664" s="3" t="str">
        <f t="shared" si="87"/>
        <v>كالاهاي مصرفي</v>
      </c>
      <c r="C664" s="3" t="str">
        <f>"انبار مركزي ( عمومي )"</f>
        <v>انبار مركزي ( عمومي )</v>
      </c>
      <c r="D664" s="3" t="str">
        <f>"0211001766"</f>
        <v>0211001766</v>
      </c>
      <c r="E664" s="3" t="str">
        <f>"مته آهن نمره 4.5"</f>
        <v>مته آهن نمره 4.5</v>
      </c>
      <c r="F664" s="3" t="str">
        <f t="shared" si="89"/>
        <v>عدد</v>
      </c>
      <c r="G664" s="3">
        <v>30</v>
      </c>
      <c r="H664" s="5">
        <v>2100000</v>
      </c>
    </row>
    <row r="665" spans="1:8" ht="18.75" x14ac:dyDescent="0.2">
      <c r="A665" s="3" t="str">
        <f t="shared" si="86"/>
        <v>98/11/26</v>
      </c>
      <c r="B665" s="3" t="str">
        <f t="shared" si="87"/>
        <v>كالاهاي مصرفي</v>
      </c>
      <c r="C665" s="3" t="str">
        <f>"انبار مصرفي ZU1"</f>
        <v>انبار مصرفي ZU1</v>
      </c>
      <c r="D665" s="3" t="str">
        <f>"0101000018"</f>
        <v>0101000018</v>
      </c>
      <c r="E665" s="3" t="str">
        <f>"روله رنگ آميزي 15 سانتي"</f>
        <v>روله رنگ آميزي 15 سانتي</v>
      </c>
      <c r="F665" s="3" t="str">
        <f t="shared" si="89"/>
        <v>عدد</v>
      </c>
      <c r="G665" s="3">
        <v>20</v>
      </c>
      <c r="H665" s="5">
        <v>2114286</v>
      </c>
    </row>
    <row r="666" spans="1:8" ht="18.75" x14ac:dyDescent="0.2">
      <c r="A666" s="3" t="str">
        <f t="shared" si="86"/>
        <v>98/11/26</v>
      </c>
      <c r="B666" s="3" t="str">
        <f t="shared" si="87"/>
        <v>كالاهاي مصرفي</v>
      </c>
      <c r="C666" s="3" t="str">
        <f>"انبار مصرفي ZU1"</f>
        <v>انبار مصرفي ZU1</v>
      </c>
      <c r="D666" s="3" t="str">
        <f>"0213000163"</f>
        <v>0213000163</v>
      </c>
      <c r="E666" s="3" t="str">
        <f>"واشر تخت M6"</f>
        <v>واشر تخت M6</v>
      </c>
      <c r="F666" s="3" t="str">
        <f t="shared" si="89"/>
        <v>عدد</v>
      </c>
      <c r="G666" s="3">
        <v>7824</v>
      </c>
      <c r="H666" s="5">
        <v>2116229</v>
      </c>
    </row>
    <row r="667" spans="1:8" ht="18.75" x14ac:dyDescent="0.2">
      <c r="A667" s="3" t="str">
        <f t="shared" si="86"/>
        <v>98/11/26</v>
      </c>
      <c r="B667" s="3" t="str">
        <f t="shared" si="87"/>
        <v>كالاهاي مصرفي</v>
      </c>
      <c r="C667" s="3" t="str">
        <f>"انبار مركزي ( عمومي )"</f>
        <v>انبار مركزي ( عمومي )</v>
      </c>
      <c r="D667" s="3" t="str">
        <f>"0213000718"</f>
        <v>0213000718</v>
      </c>
      <c r="E667" s="3" t="str">
        <f>"كمان اره آهن بر"</f>
        <v>كمان اره آهن بر</v>
      </c>
      <c r="F667" s="3" t="str">
        <f t="shared" si="89"/>
        <v>عدد</v>
      </c>
      <c r="G667" s="3">
        <v>8</v>
      </c>
      <c r="H667" s="5">
        <v>2120000</v>
      </c>
    </row>
    <row r="668" spans="1:8" ht="18.75" x14ac:dyDescent="0.2">
      <c r="A668" s="3" t="str">
        <f t="shared" si="86"/>
        <v>98/11/26</v>
      </c>
      <c r="B668" s="3" t="str">
        <f t="shared" si="87"/>
        <v>كالاهاي مصرفي</v>
      </c>
      <c r="C668" s="3" t="str">
        <f>"انبار مصرفي ZU1"</f>
        <v>انبار مصرفي ZU1</v>
      </c>
      <c r="D668" s="3" t="str">
        <f>"0204000312"</f>
        <v>0204000312</v>
      </c>
      <c r="E668" s="3" t="str">
        <f>"كاسه نمد 15*190*160"</f>
        <v>كاسه نمد 15*190*160</v>
      </c>
      <c r="F668" s="3" t="str">
        <f t="shared" si="89"/>
        <v>عدد</v>
      </c>
      <c r="G668" s="3">
        <v>2</v>
      </c>
      <c r="H668" s="5">
        <v>2125000</v>
      </c>
    </row>
    <row r="669" spans="1:8" ht="18.75" x14ac:dyDescent="0.2">
      <c r="A669" s="3" t="str">
        <f t="shared" si="86"/>
        <v>98/11/26</v>
      </c>
      <c r="B669" s="3" t="str">
        <f t="shared" si="87"/>
        <v>كالاهاي مصرفي</v>
      </c>
      <c r="C669" s="3" t="str">
        <f>"انبار مركزي ( عمومي )"</f>
        <v>انبار مركزي ( عمومي )</v>
      </c>
      <c r="D669" s="3" t="str">
        <f>"0213001028"</f>
        <v>0213001028</v>
      </c>
      <c r="E669" s="3" t="str">
        <f>"پوساب برچسب دار P60"</f>
        <v>پوساب برچسب دار P60</v>
      </c>
      <c r="F669" s="3" t="str">
        <f>"برگ"</f>
        <v>برگ</v>
      </c>
      <c r="G669" s="3">
        <v>25</v>
      </c>
      <c r="H669" s="5">
        <v>2125000</v>
      </c>
    </row>
    <row r="670" spans="1:8" ht="18.75" x14ac:dyDescent="0.2">
      <c r="A670" s="3" t="str">
        <f t="shared" si="86"/>
        <v>98/11/26</v>
      </c>
      <c r="B670" s="3" t="str">
        <f t="shared" si="87"/>
        <v>كالاهاي مصرفي</v>
      </c>
      <c r="C670" s="3" t="str">
        <f>"انبار مصرفي ZU1"</f>
        <v>انبار مصرفي ZU1</v>
      </c>
      <c r="D670" s="3" t="str">
        <f>"0204000759"</f>
        <v>0204000759</v>
      </c>
      <c r="E670" s="3" t="str">
        <f>"بيرينگ 6207 -2RS1"</f>
        <v>بيرينگ 6207 -2RS1</v>
      </c>
      <c r="F670" s="3" t="str">
        <f>"عدد"</f>
        <v>عدد</v>
      </c>
      <c r="G670" s="3">
        <v>14</v>
      </c>
      <c r="H670" s="5">
        <v>2130100</v>
      </c>
    </row>
    <row r="671" spans="1:8" ht="18.75" x14ac:dyDescent="0.2">
      <c r="A671" s="3" t="str">
        <f t="shared" si="86"/>
        <v>98/11/26</v>
      </c>
      <c r="B671" s="3" t="str">
        <f t="shared" si="87"/>
        <v>كالاهاي مصرفي</v>
      </c>
      <c r="C671" s="3" t="str">
        <f>"انبار مصرفي ZU1"</f>
        <v>انبار مصرفي ZU1</v>
      </c>
      <c r="D671" s="3" t="str">
        <f>"0204001883"</f>
        <v>0204001883</v>
      </c>
      <c r="E671" s="3" t="str">
        <f>"كاسه نمد Mild Steel 55*75*4 AIA"</f>
        <v>كاسه نمد Mild Steel 55*75*4 AIA</v>
      </c>
      <c r="F671" s="3" t="str">
        <f>"عدد"</f>
        <v>عدد</v>
      </c>
      <c r="G671" s="3">
        <v>5</v>
      </c>
      <c r="H671" s="5">
        <v>2135000</v>
      </c>
    </row>
    <row r="672" spans="1:8" ht="18.75" x14ac:dyDescent="0.2">
      <c r="A672" s="3" t="str">
        <f t="shared" si="86"/>
        <v>98/11/26</v>
      </c>
      <c r="B672" s="3" t="str">
        <f t="shared" si="87"/>
        <v>كالاهاي مصرفي</v>
      </c>
      <c r="C672" s="3" t="str">
        <f>"انبار مركزي ( عمومي )"</f>
        <v>انبار مركزي ( عمومي )</v>
      </c>
      <c r="D672" s="3" t="str">
        <f>"0213000064"</f>
        <v>0213000064</v>
      </c>
      <c r="E672" s="3" t="str">
        <f>"مته آهن نمره 1"</f>
        <v>مته آهن نمره 1</v>
      </c>
      <c r="F672" s="3" t="str">
        <f>"عدد"</f>
        <v>عدد</v>
      </c>
      <c r="G672" s="3">
        <v>99</v>
      </c>
      <c r="H672" s="5">
        <v>2145000</v>
      </c>
    </row>
    <row r="673" spans="1:8" ht="18.75" x14ac:dyDescent="0.2">
      <c r="A673" s="3" t="str">
        <f t="shared" si="86"/>
        <v>98/11/26</v>
      </c>
      <c r="B673" s="3" t="str">
        <f t="shared" si="87"/>
        <v>كالاهاي مصرفي</v>
      </c>
      <c r="C673" s="3" t="str">
        <f>"انبار مصرفي ZU1"</f>
        <v>انبار مصرفي ZU1</v>
      </c>
      <c r="D673" s="3" t="str">
        <f>"0204000837"</f>
        <v>0204000837</v>
      </c>
      <c r="E673" s="3" t="str">
        <f>"واشر اورينگ رزيني NBR 16 (-./7) X3"</f>
        <v>واشر اورينگ رزيني NBR 16 (-./7) X3</v>
      </c>
      <c r="F673" s="3" t="str">
        <f>"عدد"</f>
        <v>عدد</v>
      </c>
      <c r="G673" s="3">
        <v>9</v>
      </c>
      <c r="H673" s="5">
        <v>2160000</v>
      </c>
    </row>
    <row r="674" spans="1:8" ht="18.75" x14ac:dyDescent="0.2">
      <c r="A674" s="3" t="str">
        <f t="shared" si="86"/>
        <v>98/11/26</v>
      </c>
      <c r="B674" s="3" t="str">
        <f t="shared" si="87"/>
        <v>كالاهاي مصرفي</v>
      </c>
      <c r="C674" s="3" t="str">
        <f>"انبار مصرفي ZU1"</f>
        <v>انبار مصرفي ZU1</v>
      </c>
      <c r="D674" s="3" t="str">
        <f>"0204001301"</f>
        <v>0204001301</v>
      </c>
      <c r="E674" s="3" t="str">
        <f>"اورينگ HNBR 100*5.8"</f>
        <v>اورينگ HNBR 100*5.8</v>
      </c>
      <c r="F674" s="3" t="str">
        <f>"عدد"</f>
        <v>عدد</v>
      </c>
      <c r="G674" s="3">
        <v>7</v>
      </c>
      <c r="H674" s="5">
        <v>2160000</v>
      </c>
    </row>
    <row r="675" spans="1:8" ht="18.75" x14ac:dyDescent="0.2">
      <c r="A675" s="3" t="str">
        <f t="shared" si="86"/>
        <v>98/11/26</v>
      </c>
      <c r="B675" s="3" t="str">
        <f t="shared" si="87"/>
        <v>كالاهاي مصرفي</v>
      </c>
      <c r="C675" s="3" t="str">
        <f>"انبار مصرفي ZU1"</f>
        <v>انبار مصرفي ZU1</v>
      </c>
      <c r="D675" s="3" t="str">
        <f>"0204002150"</f>
        <v>0204002150</v>
      </c>
      <c r="E675" s="3" t="str">
        <f>"تسمه پروانه SPZ -2120"</f>
        <v>تسمه پروانه SPZ -2120</v>
      </c>
      <c r="F675" s="3" t="str">
        <f>"حلقه"</f>
        <v>حلقه</v>
      </c>
      <c r="G675" s="3">
        <v>6</v>
      </c>
      <c r="H675" s="5">
        <v>2160000</v>
      </c>
    </row>
    <row r="676" spans="1:8" ht="18.75" x14ac:dyDescent="0.2">
      <c r="A676" s="3" t="str">
        <f t="shared" si="86"/>
        <v>98/11/26</v>
      </c>
      <c r="B676" s="3" t="str">
        <f t="shared" si="87"/>
        <v>كالاهاي مصرفي</v>
      </c>
      <c r="C676" s="3" t="str">
        <f>"انبار مصرفي ZU1"</f>
        <v>انبار مصرفي ZU1</v>
      </c>
      <c r="D676" s="3" t="str">
        <f>"0213000155"</f>
        <v>0213000155</v>
      </c>
      <c r="E676" s="3" t="str">
        <f>"پيچ دو سر رزوه M8*100"</f>
        <v>پيچ دو سر رزوه M8*100</v>
      </c>
      <c r="F676" s="3" t="str">
        <f>"عدد"</f>
        <v>عدد</v>
      </c>
      <c r="G676" s="3">
        <v>480</v>
      </c>
      <c r="H676" s="5">
        <v>2160000</v>
      </c>
    </row>
    <row r="677" spans="1:8" ht="18.75" x14ac:dyDescent="0.2">
      <c r="A677" s="3" t="str">
        <f t="shared" si="86"/>
        <v>98/11/26</v>
      </c>
      <c r="B677" s="3" t="str">
        <f t="shared" si="87"/>
        <v>كالاهاي مصرفي</v>
      </c>
      <c r="C677" s="3" t="str">
        <f>"انبار مركزي ( عمومي )"</f>
        <v>انبار مركزي ( عمومي )</v>
      </c>
      <c r="D677" s="3" t="str">
        <f>"0206000206"</f>
        <v>0206000206</v>
      </c>
      <c r="E677" s="3" t="str">
        <f>"مخزن شناوردار تصفيه آب"</f>
        <v>مخزن شناوردار تصفيه آب</v>
      </c>
      <c r="F677" s="3" t="str">
        <f>"دستگاه"</f>
        <v>دستگاه</v>
      </c>
      <c r="G677" s="3">
        <v>4</v>
      </c>
      <c r="H677" s="5">
        <v>2173333</v>
      </c>
    </row>
    <row r="678" spans="1:8" ht="18.75" x14ac:dyDescent="0.2">
      <c r="A678" s="3" t="str">
        <f t="shared" si="86"/>
        <v>98/11/26</v>
      </c>
      <c r="B678" s="3" t="str">
        <f t="shared" si="87"/>
        <v>كالاهاي مصرفي</v>
      </c>
      <c r="C678" s="3" t="str">
        <f>"انبار مصرفي ZU1"</f>
        <v>انبار مصرفي ZU1</v>
      </c>
      <c r="D678" s="3" t="str">
        <f>"0204000736"</f>
        <v>0204000736</v>
      </c>
      <c r="E678" s="3" t="str">
        <f>"كاسه نمد Mild Steel 50*70*3 AIA"</f>
        <v>كاسه نمد Mild Steel 50*70*3 AIA</v>
      </c>
      <c r="F678" s="3" t="str">
        <f>"عدد"</f>
        <v>عدد</v>
      </c>
      <c r="G678" s="3">
        <v>5</v>
      </c>
      <c r="H678" s="5">
        <v>2175000</v>
      </c>
    </row>
    <row r="679" spans="1:8" ht="18.75" x14ac:dyDescent="0.2">
      <c r="A679" s="3" t="str">
        <f t="shared" si="86"/>
        <v>98/11/26</v>
      </c>
      <c r="B679" s="3" t="str">
        <f t="shared" si="87"/>
        <v>كالاهاي مصرفي</v>
      </c>
      <c r="C679" s="3" t="str">
        <f>"انبار مركزي ( عمومي )"</f>
        <v>انبار مركزي ( عمومي )</v>
      </c>
      <c r="D679" s="3" t="str">
        <f>"0213000647"</f>
        <v>0213000647</v>
      </c>
      <c r="E679" s="3" t="str">
        <f>"ديلم"</f>
        <v>ديلم</v>
      </c>
      <c r="F679" s="3" t="str">
        <f>"عدد"</f>
        <v>عدد</v>
      </c>
      <c r="G679" s="3">
        <v>3</v>
      </c>
      <c r="H679" s="5">
        <v>2180000</v>
      </c>
    </row>
    <row r="680" spans="1:8" ht="18.75" x14ac:dyDescent="0.2">
      <c r="A680" s="3" t="str">
        <f t="shared" si="86"/>
        <v>98/11/26</v>
      </c>
      <c r="B680" s="3" t="str">
        <f t="shared" si="87"/>
        <v>كالاهاي مصرفي</v>
      </c>
      <c r="C680" s="3" t="str">
        <f>"انبار مركزي ( عمومي )"</f>
        <v>انبار مركزي ( عمومي )</v>
      </c>
      <c r="D680" s="3" t="str">
        <f>"0211001089"</f>
        <v>0211001089</v>
      </c>
      <c r="E680" s="3" t="str">
        <f>"فيوز فشنگي  35 آمپر"</f>
        <v>فيوز فشنگي  35 آمپر</v>
      </c>
      <c r="F680" s="3" t="str">
        <f>"عدد"</f>
        <v>عدد</v>
      </c>
      <c r="G680" s="3">
        <v>75</v>
      </c>
      <c r="H680" s="5">
        <v>2190000</v>
      </c>
    </row>
    <row r="681" spans="1:8" ht="18.75" x14ac:dyDescent="0.2">
      <c r="A681" s="3" t="str">
        <f t="shared" si="86"/>
        <v>98/11/26</v>
      </c>
      <c r="B681" s="3" t="str">
        <f t="shared" si="87"/>
        <v>كالاهاي مصرفي</v>
      </c>
      <c r="C681" s="3" t="str">
        <f>"انبار مصرفي ZU1"</f>
        <v>انبار مصرفي ZU1</v>
      </c>
      <c r="D681" s="3" t="str">
        <f>"0106000013"</f>
        <v>0106000013</v>
      </c>
      <c r="E681" s="3" t="str">
        <f>"روغن Shell Tellus 46"</f>
        <v>روغن Shell Tellus 46</v>
      </c>
      <c r="F681" s="3" t="str">
        <f>"ليتر"</f>
        <v>ليتر</v>
      </c>
      <c r="G681" s="3">
        <v>20</v>
      </c>
      <c r="H681" s="5">
        <v>2200000</v>
      </c>
    </row>
    <row r="682" spans="1:8" ht="18.75" x14ac:dyDescent="0.2">
      <c r="A682" s="3" t="str">
        <f t="shared" si="86"/>
        <v>98/11/26</v>
      </c>
      <c r="B682" s="3" t="str">
        <f t="shared" si="87"/>
        <v>كالاهاي مصرفي</v>
      </c>
      <c r="C682" s="3" t="str">
        <f>"انبار مركزي ( عمومي )"</f>
        <v>انبار مركزي ( عمومي )</v>
      </c>
      <c r="D682" s="3" t="str">
        <f>"0203000219"</f>
        <v>0203000219</v>
      </c>
      <c r="E682" s="3" t="str">
        <f>"آچار يكسر رينگ و يكسر تخت 7"</f>
        <v>آچار يكسر رينگ و يكسر تخت 7</v>
      </c>
      <c r="F682" s="3" t="str">
        <f>"عدد"</f>
        <v>عدد</v>
      </c>
      <c r="G682" s="3">
        <v>20</v>
      </c>
      <c r="H682" s="5">
        <v>2200000</v>
      </c>
    </row>
    <row r="683" spans="1:8" ht="18.75" x14ac:dyDescent="0.2">
      <c r="A683" s="3" t="str">
        <f t="shared" si="86"/>
        <v>98/11/26</v>
      </c>
      <c r="B683" s="3" t="str">
        <f t="shared" si="87"/>
        <v>كالاهاي مصرفي</v>
      </c>
      <c r="C683" s="3" t="str">
        <f t="shared" ref="C683:C688" si="90">"انبار مصرفي ZU1"</f>
        <v>انبار مصرفي ZU1</v>
      </c>
      <c r="D683" s="3" t="str">
        <f>"0204000114"</f>
        <v>0204000114</v>
      </c>
      <c r="E683" s="3" t="str">
        <f>"بيرينگ 32210"</f>
        <v>بيرينگ 32210</v>
      </c>
      <c r="F683" s="3" t="str">
        <f>"عدد"</f>
        <v>عدد</v>
      </c>
      <c r="G683" s="3">
        <v>1</v>
      </c>
      <c r="H683" s="5">
        <v>2200000</v>
      </c>
    </row>
    <row r="684" spans="1:8" ht="18.75" x14ac:dyDescent="0.2">
      <c r="A684" s="3" t="str">
        <f t="shared" si="86"/>
        <v>98/11/26</v>
      </c>
      <c r="B684" s="3" t="str">
        <f t="shared" si="87"/>
        <v>كالاهاي مصرفي</v>
      </c>
      <c r="C684" s="3" t="str">
        <f t="shared" si="90"/>
        <v>انبار مصرفي ZU1</v>
      </c>
      <c r="D684" s="3" t="str">
        <f>"0204000519"</f>
        <v>0204000519</v>
      </c>
      <c r="E684" s="3" t="str">
        <f>"بيرينگ-627"</f>
        <v>بيرينگ-627</v>
      </c>
      <c r="F684" s="3" t="str">
        <f>"عدد"</f>
        <v>عدد</v>
      </c>
      <c r="G684" s="3">
        <v>20</v>
      </c>
      <c r="H684" s="5">
        <v>2200000</v>
      </c>
    </row>
    <row r="685" spans="1:8" ht="18.75" x14ac:dyDescent="0.2">
      <c r="A685" s="3" t="str">
        <f t="shared" si="86"/>
        <v>98/11/26</v>
      </c>
      <c r="B685" s="3" t="str">
        <f t="shared" si="87"/>
        <v>كالاهاي مصرفي</v>
      </c>
      <c r="C685" s="3" t="str">
        <f t="shared" si="90"/>
        <v>انبار مصرفي ZU1</v>
      </c>
      <c r="D685" s="3" t="str">
        <f>"0204001433"</f>
        <v>0204001433</v>
      </c>
      <c r="E685" s="3" t="str">
        <f>"واشر پريشمان ضخامت 0/4  ميليمتر"</f>
        <v>واشر پريشمان ضخامت 0/4  ميليمتر</v>
      </c>
      <c r="F685" s="3" t="str">
        <f>"ورق"</f>
        <v>ورق</v>
      </c>
      <c r="G685" s="3">
        <v>2</v>
      </c>
      <c r="H685" s="5">
        <v>2200000</v>
      </c>
    </row>
    <row r="686" spans="1:8" ht="18.75" x14ac:dyDescent="0.2">
      <c r="A686" s="3" t="str">
        <f t="shared" si="86"/>
        <v>98/11/26</v>
      </c>
      <c r="B686" s="3" t="str">
        <f t="shared" si="87"/>
        <v>كالاهاي مصرفي</v>
      </c>
      <c r="C686" s="3" t="str">
        <f t="shared" si="90"/>
        <v>انبار مصرفي ZU1</v>
      </c>
      <c r="D686" s="3" t="str">
        <f>"0204002116"</f>
        <v>0204002116</v>
      </c>
      <c r="E686" s="3" t="str">
        <f>"واشر اسپيرال 98*90*4.5"</f>
        <v>واشر اسپيرال 98*90*4.5</v>
      </c>
      <c r="F686" s="3" t="str">
        <f>"عدد"</f>
        <v>عدد</v>
      </c>
      <c r="G686" s="3">
        <v>10</v>
      </c>
      <c r="H686" s="5">
        <v>2200000</v>
      </c>
    </row>
    <row r="687" spans="1:8" ht="18.75" x14ac:dyDescent="0.2">
      <c r="A687" s="3" t="str">
        <f t="shared" si="86"/>
        <v>98/11/26</v>
      </c>
      <c r="B687" s="3" t="str">
        <f t="shared" si="87"/>
        <v>كالاهاي مصرفي</v>
      </c>
      <c r="C687" s="3" t="str">
        <f t="shared" si="90"/>
        <v>انبار مصرفي ZU1</v>
      </c>
      <c r="D687" s="3" t="str">
        <f>"0213000580"</f>
        <v>0213000580</v>
      </c>
      <c r="E687" s="3" t="str">
        <f>"برس كاسه اي كوچك"</f>
        <v>برس كاسه اي كوچك</v>
      </c>
      <c r="F687" s="3" t="str">
        <f>"عدد"</f>
        <v>عدد</v>
      </c>
      <c r="G687" s="3">
        <v>20</v>
      </c>
      <c r="H687" s="5">
        <v>2200000</v>
      </c>
    </row>
    <row r="688" spans="1:8" ht="18.75" x14ac:dyDescent="0.2">
      <c r="A688" s="3" t="str">
        <f t="shared" si="86"/>
        <v>98/11/26</v>
      </c>
      <c r="B688" s="3" t="str">
        <f t="shared" si="87"/>
        <v>كالاهاي مصرفي</v>
      </c>
      <c r="C688" s="3" t="str">
        <f t="shared" si="90"/>
        <v>انبار مصرفي ZU1</v>
      </c>
      <c r="D688" s="3" t="str">
        <f>"0303000304"</f>
        <v>0303000304</v>
      </c>
      <c r="E688" s="3" t="str">
        <f>"مانومتر(6-0) bar"</f>
        <v>مانومتر(6-0) bar</v>
      </c>
      <c r="F688" s="3" t="str">
        <f>"دستگاه"</f>
        <v>دستگاه</v>
      </c>
      <c r="G688" s="3">
        <v>1</v>
      </c>
      <c r="H688" s="5">
        <v>2200000</v>
      </c>
    </row>
    <row r="689" spans="1:8" ht="18.75" x14ac:dyDescent="0.2">
      <c r="A689" s="3" t="str">
        <f t="shared" si="86"/>
        <v>98/11/26</v>
      </c>
      <c r="B689" s="3" t="str">
        <f t="shared" si="87"/>
        <v>كالاهاي مصرفي</v>
      </c>
      <c r="C689" s="3" t="str">
        <f>"انبار مركزي ( عمومي )"</f>
        <v>انبار مركزي ( عمومي )</v>
      </c>
      <c r="D689" s="3" t="str">
        <f>"0601000067"</f>
        <v>0601000067</v>
      </c>
      <c r="E689" s="3" t="str">
        <f>"عينك سنگ زني"</f>
        <v>عينك سنگ زني</v>
      </c>
      <c r="F689" s="3" t="str">
        <f t="shared" ref="F689:F698" si="91">"عدد"</f>
        <v>عدد</v>
      </c>
      <c r="G689" s="3">
        <v>10</v>
      </c>
      <c r="H689" s="5">
        <v>2200000</v>
      </c>
    </row>
    <row r="690" spans="1:8" ht="18.75" x14ac:dyDescent="0.2">
      <c r="A690" s="3" t="str">
        <f t="shared" si="86"/>
        <v>98/11/26</v>
      </c>
      <c r="B690" s="3" t="str">
        <f t="shared" si="87"/>
        <v>كالاهاي مصرفي</v>
      </c>
      <c r="C690" s="3" t="str">
        <f>"انبار مصرفي ZU1"</f>
        <v>انبار مصرفي ZU1</v>
      </c>
      <c r="D690" s="3" t="str">
        <f>"0213000156"</f>
        <v>0213000156</v>
      </c>
      <c r="E690" s="3" t="str">
        <f>"پيچ دو سر رزوه M10*60"</f>
        <v>پيچ دو سر رزوه M10*60</v>
      </c>
      <c r="F690" s="3" t="str">
        <f t="shared" si="91"/>
        <v>عدد</v>
      </c>
      <c r="G690" s="3">
        <v>408</v>
      </c>
      <c r="H690" s="5">
        <v>2203200</v>
      </c>
    </row>
    <row r="691" spans="1:8" ht="18.75" x14ac:dyDescent="0.2">
      <c r="A691" s="3" t="str">
        <f t="shared" si="86"/>
        <v>98/11/26</v>
      </c>
      <c r="B691" s="3" t="str">
        <f t="shared" si="87"/>
        <v>كالاهاي مصرفي</v>
      </c>
      <c r="C691" s="3" t="str">
        <f>"انبار مصرفي ZU1"</f>
        <v>انبار مصرفي ZU1</v>
      </c>
      <c r="D691" s="3" t="str">
        <f>"0204001882"</f>
        <v>0204001882</v>
      </c>
      <c r="E691" s="3" t="str">
        <f>"كاسه نمد Mild Steel 65*90*4 AIA"</f>
        <v>كاسه نمد Mild Steel 65*90*4 AIA</v>
      </c>
      <c r="F691" s="3" t="str">
        <f t="shared" si="91"/>
        <v>عدد</v>
      </c>
      <c r="G691" s="3">
        <v>5</v>
      </c>
      <c r="H691" s="5">
        <v>2205000</v>
      </c>
    </row>
    <row r="692" spans="1:8" ht="18.75" x14ac:dyDescent="0.2">
      <c r="A692" s="3" t="str">
        <f t="shared" si="86"/>
        <v>98/11/26</v>
      </c>
      <c r="B692" s="3" t="str">
        <f t="shared" si="87"/>
        <v>كالاهاي مصرفي</v>
      </c>
      <c r="C692" s="3" t="str">
        <f>"انبار مصرفي ZU1"</f>
        <v>انبار مصرفي ZU1</v>
      </c>
      <c r="D692" s="3" t="str">
        <f>"0213000170"</f>
        <v>0213000170</v>
      </c>
      <c r="E692" s="3" t="str">
        <f>"واشر تخت M32"</f>
        <v>واشر تخت M32</v>
      </c>
      <c r="F692" s="3" t="str">
        <f t="shared" si="91"/>
        <v>عدد</v>
      </c>
      <c r="G692" s="3">
        <v>492</v>
      </c>
      <c r="H692" s="5">
        <v>2214000</v>
      </c>
    </row>
    <row r="693" spans="1:8" ht="18.75" x14ac:dyDescent="0.2">
      <c r="A693" s="3" t="str">
        <f t="shared" si="86"/>
        <v>98/11/26</v>
      </c>
      <c r="B693" s="3" t="str">
        <f t="shared" si="87"/>
        <v>كالاهاي مصرفي</v>
      </c>
      <c r="C693" s="3" t="str">
        <f>"انبار مركزي ( عمومي )"</f>
        <v>انبار مركزي ( عمومي )</v>
      </c>
      <c r="D693" s="3" t="str">
        <f>"0906000144"</f>
        <v>0906000144</v>
      </c>
      <c r="E693" s="3" t="str">
        <f>"كابل شبكه ( پچ كورد )سه متري Cat6"</f>
        <v>كابل شبكه ( پچ كورد )سه متري Cat6</v>
      </c>
      <c r="F693" s="3" t="str">
        <f t="shared" si="91"/>
        <v>عدد</v>
      </c>
      <c r="G693" s="3">
        <v>6</v>
      </c>
      <c r="H693" s="5">
        <v>2220000</v>
      </c>
    </row>
    <row r="694" spans="1:8" ht="18.75" x14ac:dyDescent="0.2">
      <c r="A694" s="3" t="str">
        <f t="shared" si="86"/>
        <v>98/11/26</v>
      </c>
      <c r="B694" s="3" t="str">
        <f t="shared" si="87"/>
        <v>كالاهاي مصرفي</v>
      </c>
      <c r="C694" s="3" t="str">
        <f>"انبار مصرفي ZU1"</f>
        <v>انبار مصرفي ZU1</v>
      </c>
      <c r="D694" s="3" t="str">
        <f>"0204001387"</f>
        <v>0204001387</v>
      </c>
      <c r="E694" s="3" t="str">
        <f>"اورينگ HNBR 45*3"</f>
        <v>اورينگ HNBR 45*3</v>
      </c>
      <c r="F694" s="3" t="str">
        <f t="shared" si="91"/>
        <v>عدد</v>
      </c>
      <c r="G694" s="3">
        <v>16</v>
      </c>
      <c r="H694" s="5">
        <v>2224000</v>
      </c>
    </row>
    <row r="695" spans="1:8" ht="18.75" x14ac:dyDescent="0.2">
      <c r="A695" s="3" t="str">
        <f t="shared" si="86"/>
        <v>98/11/26</v>
      </c>
      <c r="B695" s="3" t="str">
        <f t="shared" si="87"/>
        <v>كالاهاي مصرفي</v>
      </c>
      <c r="C695" s="3" t="str">
        <f>"انبار مصرفي ZU1"</f>
        <v>انبار مصرفي ZU1</v>
      </c>
      <c r="D695" s="3" t="str">
        <f>"0204001389"</f>
        <v>0204001389</v>
      </c>
      <c r="E695" s="3" t="str">
        <f>"اورينگ HNBR 18*3"</f>
        <v>اورينگ HNBR 18*3</v>
      </c>
      <c r="F695" s="3" t="str">
        <f t="shared" si="91"/>
        <v>عدد</v>
      </c>
      <c r="G695" s="3">
        <v>16</v>
      </c>
      <c r="H695" s="5">
        <v>2224000</v>
      </c>
    </row>
    <row r="696" spans="1:8" ht="18.75" x14ac:dyDescent="0.2">
      <c r="A696" s="3" t="str">
        <f t="shared" si="86"/>
        <v>98/11/26</v>
      </c>
      <c r="B696" s="3" t="str">
        <f t="shared" si="87"/>
        <v>كالاهاي مصرفي</v>
      </c>
      <c r="C696" s="3" t="str">
        <f>"انبار مصرفي ZU1"</f>
        <v>انبار مصرفي ZU1</v>
      </c>
      <c r="D696" s="3" t="str">
        <f>"0203000063"</f>
        <v>0203000063</v>
      </c>
      <c r="E696" s="3" t="str">
        <f>"انبر جوشكاري"</f>
        <v>انبر جوشكاري</v>
      </c>
      <c r="F696" s="3" t="str">
        <f t="shared" si="91"/>
        <v>عدد</v>
      </c>
      <c r="G696" s="3">
        <v>5</v>
      </c>
      <c r="H696" s="5">
        <v>2225000</v>
      </c>
    </row>
    <row r="697" spans="1:8" ht="18.75" x14ac:dyDescent="0.2">
      <c r="A697" s="3" t="str">
        <f t="shared" si="86"/>
        <v>98/11/26</v>
      </c>
      <c r="B697" s="3" t="str">
        <f t="shared" si="87"/>
        <v>كالاهاي مصرفي</v>
      </c>
      <c r="C697" s="3" t="str">
        <f>"انبار مصرفي ZU1"</f>
        <v>انبار مصرفي ZU1</v>
      </c>
      <c r="D697" s="3" t="str">
        <f>"0101000083"</f>
        <v>0101000083</v>
      </c>
      <c r="E697" s="3" t="str">
        <f>"روله رنگ آميزي 25 سانتي"</f>
        <v>روله رنگ آميزي 25 سانتي</v>
      </c>
      <c r="F697" s="3" t="str">
        <f t="shared" si="91"/>
        <v>عدد</v>
      </c>
      <c r="G697" s="3">
        <v>20</v>
      </c>
      <c r="H697" s="5">
        <v>2226207</v>
      </c>
    </row>
    <row r="698" spans="1:8" ht="18.75" x14ac:dyDescent="0.2">
      <c r="A698" s="3" t="str">
        <f t="shared" si="86"/>
        <v>98/11/26</v>
      </c>
      <c r="B698" s="3" t="str">
        <f t="shared" si="87"/>
        <v>كالاهاي مصرفي</v>
      </c>
      <c r="C698" s="3" t="str">
        <f>"انبار مركزي ( عمومي )"</f>
        <v>انبار مركزي ( عمومي )</v>
      </c>
      <c r="D698" s="3" t="str">
        <f>"0203000218"</f>
        <v>0203000218</v>
      </c>
      <c r="E698" s="3" t="str">
        <f>"آچار يكسر رينگ و يكسر تخت 22"</f>
        <v>آچار يكسر رينگ و يكسر تخت 22</v>
      </c>
      <c r="F698" s="3" t="str">
        <f t="shared" si="91"/>
        <v>عدد</v>
      </c>
      <c r="G698" s="3">
        <v>8</v>
      </c>
      <c r="H698" s="5">
        <v>2240000</v>
      </c>
    </row>
    <row r="699" spans="1:8" ht="18.75" x14ac:dyDescent="0.2">
      <c r="A699" s="3" t="str">
        <f t="shared" si="86"/>
        <v>98/11/26</v>
      </c>
      <c r="B699" s="3" t="str">
        <f t="shared" si="87"/>
        <v>كالاهاي مصرفي</v>
      </c>
      <c r="C699" s="3" t="str">
        <f>"انبار مصرفي ZU1"</f>
        <v>انبار مصرفي ZU1</v>
      </c>
      <c r="D699" s="3" t="str">
        <f>"0106000017"</f>
        <v>0106000017</v>
      </c>
      <c r="E699" s="3" t="str">
        <f>"گريس shell albida HD2"</f>
        <v>گريس shell albida HD2</v>
      </c>
      <c r="F699" s="3" t="str">
        <f>"کيلوگرم"</f>
        <v>کيلوگرم</v>
      </c>
      <c r="G699" s="3">
        <v>5</v>
      </c>
      <c r="H699" s="5">
        <v>2250000</v>
      </c>
    </row>
    <row r="700" spans="1:8" ht="18.75" x14ac:dyDescent="0.2">
      <c r="A700" s="3" t="str">
        <f t="shared" si="86"/>
        <v>98/11/26</v>
      </c>
      <c r="B700" s="3" t="str">
        <f t="shared" si="87"/>
        <v>كالاهاي مصرفي</v>
      </c>
      <c r="C700" s="3" t="str">
        <f>"انبار مصرفي ZU1"</f>
        <v>انبار مصرفي ZU1</v>
      </c>
      <c r="D700" s="3" t="str">
        <f>"0110000005"</f>
        <v>0110000005</v>
      </c>
      <c r="E700" s="3" t="str">
        <f>"شارلاك هواي خشک"</f>
        <v>شارلاك هواي خشک</v>
      </c>
      <c r="F700" s="3" t="str">
        <f>"گالن"</f>
        <v>گالن</v>
      </c>
      <c r="G700" s="3">
        <v>5</v>
      </c>
      <c r="H700" s="5">
        <v>2250000</v>
      </c>
    </row>
    <row r="701" spans="1:8" ht="18.75" x14ac:dyDescent="0.2">
      <c r="A701" s="3" t="str">
        <f t="shared" si="86"/>
        <v>98/11/26</v>
      </c>
      <c r="B701" s="3" t="str">
        <f t="shared" si="87"/>
        <v>كالاهاي مصرفي</v>
      </c>
      <c r="C701" s="3" t="str">
        <f>"انبار مصرفي ZU1"</f>
        <v>انبار مصرفي ZU1</v>
      </c>
      <c r="D701" s="3" t="str">
        <f>"0204002081"</f>
        <v>0204002081</v>
      </c>
      <c r="E701" s="3" t="str">
        <f>"تسمه پروانه A74"</f>
        <v>تسمه پروانه A74</v>
      </c>
      <c r="F701" s="3" t="str">
        <f>"حلقه"</f>
        <v>حلقه</v>
      </c>
      <c r="G701" s="3">
        <v>15</v>
      </c>
      <c r="H701" s="5">
        <v>2250000</v>
      </c>
    </row>
    <row r="702" spans="1:8" ht="18.75" x14ac:dyDescent="0.2">
      <c r="A702" s="3" t="str">
        <f t="shared" si="86"/>
        <v>98/11/26</v>
      </c>
      <c r="B702" s="3" t="str">
        <f t="shared" si="87"/>
        <v>كالاهاي مصرفي</v>
      </c>
      <c r="C702" s="3" t="str">
        <f t="shared" ref="C702:C708" si="92">"انبار مركزي ( عمومي )"</f>
        <v>انبار مركزي ( عمومي )</v>
      </c>
      <c r="D702" s="3" t="str">
        <f>"0206000442"</f>
        <v>0206000442</v>
      </c>
      <c r="E702" s="3" t="str">
        <f>"بست ديواري 3/4 اينچ"</f>
        <v>بست ديواري 3/4 اينچ</v>
      </c>
      <c r="F702" s="3" t="str">
        <f>"عدد"</f>
        <v>عدد</v>
      </c>
      <c r="G702" s="3">
        <v>150</v>
      </c>
      <c r="H702" s="5">
        <v>2250000</v>
      </c>
    </row>
    <row r="703" spans="1:8" ht="18.75" x14ac:dyDescent="0.2">
      <c r="A703" s="3" t="str">
        <f t="shared" si="86"/>
        <v>98/11/26</v>
      </c>
      <c r="B703" s="3" t="str">
        <f t="shared" si="87"/>
        <v>كالاهاي مصرفي</v>
      </c>
      <c r="C703" s="3" t="str">
        <f t="shared" si="92"/>
        <v>انبار مركزي ( عمومي )</v>
      </c>
      <c r="D703" s="3" t="str">
        <f>"0211001472"</f>
        <v>0211001472</v>
      </c>
      <c r="E703" s="3" t="str">
        <f>"سيار برق محافظ دار6 پريزه"</f>
        <v>سيار برق محافظ دار6 پريزه</v>
      </c>
      <c r="F703" s="3" t="str">
        <f>"عدد"</f>
        <v>عدد</v>
      </c>
      <c r="G703" s="3">
        <v>31</v>
      </c>
      <c r="H703" s="5">
        <v>2250000</v>
      </c>
    </row>
    <row r="704" spans="1:8" ht="18.75" x14ac:dyDescent="0.2">
      <c r="A704" s="3" t="str">
        <f t="shared" si="86"/>
        <v>98/11/26</v>
      </c>
      <c r="B704" s="3" t="str">
        <f t="shared" si="87"/>
        <v>كالاهاي مصرفي</v>
      </c>
      <c r="C704" s="3" t="str">
        <f t="shared" si="92"/>
        <v>انبار مركزي ( عمومي )</v>
      </c>
      <c r="D704" s="3" t="str">
        <f>"0211001767"</f>
        <v>0211001767</v>
      </c>
      <c r="E704" s="3" t="str">
        <f>"مته آهن نمره 2.5"</f>
        <v>مته آهن نمره 2.5</v>
      </c>
      <c r="F704" s="3" t="str">
        <f>"عدد"</f>
        <v>عدد</v>
      </c>
      <c r="G704" s="3">
        <v>50</v>
      </c>
      <c r="H704" s="5">
        <v>2250000</v>
      </c>
    </row>
    <row r="705" spans="1:8" ht="18.75" x14ac:dyDescent="0.2">
      <c r="A705" s="3" t="str">
        <f t="shared" si="86"/>
        <v>98/11/26</v>
      </c>
      <c r="B705" s="3" t="str">
        <f t="shared" si="87"/>
        <v>كالاهاي مصرفي</v>
      </c>
      <c r="C705" s="3" t="str">
        <f t="shared" si="92"/>
        <v>انبار مركزي ( عمومي )</v>
      </c>
      <c r="D705" s="3" t="str">
        <f>"0213001033"</f>
        <v>0213001033</v>
      </c>
      <c r="E705" s="3" t="str">
        <f>"پوساب برچسب دار P280"</f>
        <v>پوساب برچسب دار P280</v>
      </c>
      <c r="F705" s="3" t="str">
        <f>"برگ"</f>
        <v>برگ</v>
      </c>
      <c r="G705" s="3">
        <v>30</v>
      </c>
      <c r="H705" s="5">
        <v>2250000</v>
      </c>
    </row>
    <row r="706" spans="1:8" ht="18.75" x14ac:dyDescent="0.2">
      <c r="A706" s="3" t="str">
        <f t="shared" ref="A706:A769" si="93">"98/11/26"</f>
        <v>98/11/26</v>
      </c>
      <c r="B706" s="3" t="str">
        <f t="shared" ref="B706:B769" si="94">"كالاهاي مصرفي"</f>
        <v>كالاهاي مصرفي</v>
      </c>
      <c r="C706" s="3" t="str">
        <f t="shared" si="92"/>
        <v>انبار مركزي ( عمومي )</v>
      </c>
      <c r="D706" s="3" t="str">
        <f>"0213001035"</f>
        <v>0213001035</v>
      </c>
      <c r="E706" s="3" t="str">
        <f>"پوساب برچسب دار P500"</f>
        <v>پوساب برچسب دار P500</v>
      </c>
      <c r="F706" s="3" t="str">
        <f>"برگ"</f>
        <v>برگ</v>
      </c>
      <c r="G706" s="3">
        <v>30</v>
      </c>
      <c r="H706" s="5">
        <v>2250000</v>
      </c>
    </row>
    <row r="707" spans="1:8" ht="18.75" x14ac:dyDescent="0.2">
      <c r="A707" s="3" t="str">
        <f t="shared" si="93"/>
        <v>98/11/26</v>
      </c>
      <c r="B707" s="3" t="str">
        <f t="shared" si="94"/>
        <v>كالاهاي مصرفي</v>
      </c>
      <c r="C707" s="3" t="str">
        <f t="shared" si="92"/>
        <v>انبار مركزي ( عمومي )</v>
      </c>
      <c r="D707" s="3" t="str">
        <f>"0213001036"</f>
        <v>0213001036</v>
      </c>
      <c r="E707" s="3" t="str">
        <f>"پوساب برچسب دار P600"</f>
        <v>پوساب برچسب دار P600</v>
      </c>
      <c r="F707" s="3" t="str">
        <f>"برگ"</f>
        <v>برگ</v>
      </c>
      <c r="G707" s="3">
        <v>30</v>
      </c>
      <c r="H707" s="5">
        <v>2250000</v>
      </c>
    </row>
    <row r="708" spans="1:8" ht="18.75" x14ac:dyDescent="0.2">
      <c r="A708" s="3" t="str">
        <f t="shared" si="93"/>
        <v>98/11/26</v>
      </c>
      <c r="B708" s="3" t="str">
        <f t="shared" si="94"/>
        <v>كالاهاي مصرفي</v>
      </c>
      <c r="C708" s="3" t="str">
        <f t="shared" si="92"/>
        <v>انبار مركزي ( عمومي )</v>
      </c>
      <c r="D708" s="3" t="str">
        <f>"0903000062"</f>
        <v>0903000062</v>
      </c>
      <c r="E708" s="3" t="str">
        <f>"پچ كورد فيبر نوري( SC-SC (2M"</f>
        <v>پچ كورد فيبر نوري( SC-SC (2M</v>
      </c>
      <c r="F708" s="3" t="str">
        <f>"عدد"</f>
        <v>عدد</v>
      </c>
      <c r="G708" s="3">
        <v>3</v>
      </c>
      <c r="H708" s="5">
        <v>2250000</v>
      </c>
    </row>
    <row r="709" spans="1:8" ht="18.75" x14ac:dyDescent="0.2">
      <c r="A709" s="3" t="str">
        <f t="shared" si="93"/>
        <v>98/11/26</v>
      </c>
      <c r="B709" s="3" t="str">
        <f t="shared" si="94"/>
        <v>كالاهاي مصرفي</v>
      </c>
      <c r="C709" s="3" t="str">
        <f>"انبار مصرفي ZU1"</f>
        <v>انبار مصرفي ZU1</v>
      </c>
      <c r="D709" s="3" t="str">
        <f>"0204000690"</f>
        <v>0204000690</v>
      </c>
      <c r="E709" s="3" t="str">
        <f>"بيرينگ 7203 BEP"</f>
        <v>بيرينگ 7203 BEP</v>
      </c>
      <c r="F709" s="3" t="str">
        <f>"عدد"</f>
        <v>عدد</v>
      </c>
      <c r="G709" s="3">
        <v>5</v>
      </c>
      <c r="H709" s="5">
        <v>2275000</v>
      </c>
    </row>
    <row r="710" spans="1:8" ht="18.75" x14ac:dyDescent="0.2">
      <c r="A710" s="3" t="str">
        <f t="shared" si="93"/>
        <v>98/11/26</v>
      </c>
      <c r="B710" s="3" t="str">
        <f t="shared" si="94"/>
        <v>كالاهاي مصرفي</v>
      </c>
      <c r="C710" s="3" t="str">
        <f>"انبار مصرفي ZU1"</f>
        <v>انبار مصرفي ZU1</v>
      </c>
      <c r="D710" s="3" t="str">
        <f>"0213000646"</f>
        <v>0213000646</v>
      </c>
      <c r="E710" s="3" t="str">
        <f>"لقمه سنگ انگشتي"</f>
        <v>لقمه سنگ انگشتي</v>
      </c>
      <c r="F710" s="3" t="str">
        <f>"عدد"</f>
        <v>عدد</v>
      </c>
      <c r="G710" s="3">
        <v>130</v>
      </c>
      <c r="H710" s="5">
        <v>2275000</v>
      </c>
    </row>
    <row r="711" spans="1:8" ht="18.75" x14ac:dyDescent="0.2">
      <c r="A711" s="3" t="str">
        <f t="shared" si="93"/>
        <v>98/11/26</v>
      </c>
      <c r="B711" s="3" t="str">
        <f t="shared" si="94"/>
        <v>كالاهاي مصرفي</v>
      </c>
      <c r="C711" s="3" t="str">
        <f>"انبار مصرفي ZU1"</f>
        <v>انبار مصرفي ZU1</v>
      </c>
      <c r="D711" s="3" t="str">
        <f>"0204000316"</f>
        <v>0204000316</v>
      </c>
      <c r="E711" s="3" t="str">
        <f>"كاسه نمد 13*150*115"</f>
        <v>كاسه نمد 13*150*115</v>
      </c>
      <c r="F711" s="3" t="str">
        <f>"عدد"</f>
        <v>عدد</v>
      </c>
      <c r="G711" s="3">
        <v>4</v>
      </c>
      <c r="H711" s="5">
        <v>2300000</v>
      </c>
    </row>
    <row r="712" spans="1:8" ht="18.75" x14ac:dyDescent="0.2">
      <c r="A712" s="3" t="str">
        <f t="shared" si="93"/>
        <v>98/11/26</v>
      </c>
      <c r="B712" s="3" t="str">
        <f t="shared" si="94"/>
        <v>كالاهاي مصرفي</v>
      </c>
      <c r="C712" s="3" t="str">
        <f>"انبار مصرفي ZU1"</f>
        <v>انبار مصرفي ZU1</v>
      </c>
      <c r="D712" s="3" t="str">
        <f>"0204002149"</f>
        <v>0204002149</v>
      </c>
      <c r="E712" s="3" t="str">
        <f>"تسمه پروانه SPZ -1250"</f>
        <v>تسمه پروانه SPZ -1250</v>
      </c>
      <c r="F712" s="3" t="str">
        <f>"حلقه"</f>
        <v>حلقه</v>
      </c>
      <c r="G712" s="3">
        <v>10</v>
      </c>
      <c r="H712" s="5">
        <v>2300000</v>
      </c>
    </row>
    <row r="713" spans="1:8" ht="18.75" x14ac:dyDescent="0.2">
      <c r="A713" s="3" t="str">
        <f t="shared" si="93"/>
        <v>98/11/26</v>
      </c>
      <c r="B713" s="3" t="str">
        <f t="shared" si="94"/>
        <v>كالاهاي مصرفي</v>
      </c>
      <c r="C713" s="3" t="str">
        <f>"انبار مركزي ( عمومي )"</f>
        <v>انبار مركزي ( عمومي )</v>
      </c>
      <c r="D713" s="3" t="str">
        <f>"0203000268"</f>
        <v>0203000268</v>
      </c>
      <c r="E713" s="3" t="str">
        <f>"آچار يكسر رينگ و يكسر تخت 8"</f>
        <v>آچار يكسر رينگ و يكسر تخت 8</v>
      </c>
      <c r="F713" s="3" t="str">
        <f>"عدد"</f>
        <v>عدد</v>
      </c>
      <c r="G713" s="3">
        <v>19</v>
      </c>
      <c r="H713" s="5">
        <v>2305333</v>
      </c>
    </row>
    <row r="714" spans="1:8" ht="18.75" x14ac:dyDescent="0.2">
      <c r="A714" s="3" t="str">
        <f t="shared" si="93"/>
        <v>98/11/26</v>
      </c>
      <c r="B714" s="3" t="str">
        <f t="shared" si="94"/>
        <v>كالاهاي مصرفي</v>
      </c>
      <c r="C714" s="3" t="str">
        <f>"انبار مصرفي ZU1"</f>
        <v>انبار مصرفي ZU1</v>
      </c>
      <c r="D714" s="3" t="str">
        <f>"0213001002"</f>
        <v>0213001002</v>
      </c>
      <c r="E714" s="3" t="str">
        <f>"مهره كربن استيل M5"</f>
        <v>مهره كربن استيل M5</v>
      </c>
      <c r="F714" s="3" t="str">
        <f>"عدد"</f>
        <v>عدد</v>
      </c>
      <c r="G714" s="3">
        <v>580</v>
      </c>
      <c r="H714" s="5">
        <v>2320000</v>
      </c>
    </row>
    <row r="715" spans="1:8" ht="18.75" x14ac:dyDescent="0.2">
      <c r="A715" s="3" t="str">
        <f t="shared" si="93"/>
        <v>98/11/26</v>
      </c>
      <c r="B715" s="3" t="str">
        <f t="shared" si="94"/>
        <v>كالاهاي مصرفي</v>
      </c>
      <c r="C715" s="3" t="str">
        <f>"انبار مصرفي ZU1"</f>
        <v>انبار مصرفي ZU1</v>
      </c>
      <c r="D715" s="3" t="str">
        <f>"0213000124"</f>
        <v>0213000124</v>
      </c>
      <c r="E715" s="3" t="str">
        <f>"واشر قفلي M16"</f>
        <v>واشر قفلي M16</v>
      </c>
      <c r="F715" s="3" t="str">
        <f>"عدد"</f>
        <v>عدد</v>
      </c>
      <c r="G715" s="3">
        <v>410</v>
      </c>
      <c r="H715" s="5">
        <v>2337000</v>
      </c>
    </row>
    <row r="716" spans="1:8" ht="18.75" x14ac:dyDescent="0.2">
      <c r="A716" s="3" t="str">
        <f t="shared" si="93"/>
        <v>98/11/26</v>
      </c>
      <c r="B716" s="3" t="str">
        <f t="shared" si="94"/>
        <v>كالاهاي مصرفي</v>
      </c>
      <c r="C716" s="3" t="str">
        <f>"انبار مصرفي ZU1"</f>
        <v>انبار مصرفي ZU1</v>
      </c>
      <c r="D716" s="3" t="str">
        <f>"0102000081"</f>
        <v>0102000081</v>
      </c>
      <c r="E716" s="3" t="str">
        <f>"رنگ اسپري"</f>
        <v>رنگ اسپري</v>
      </c>
      <c r="F716" s="3" t="str">
        <f>"عدد"</f>
        <v>عدد</v>
      </c>
      <c r="G716" s="3">
        <v>12</v>
      </c>
      <c r="H716" s="5">
        <v>2337437</v>
      </c>
    </row>
    <row r="717" spans="1:8" ht="18.75" x14ac:dyDescent="0.2">
      <c r="A717" s="3" t="str">
        <f t="shared" si="93"/>
        <v>98/11/26</v>
      </c>
      <c r="B717" s="3" t="str">
        <f t="shared" si="94"/>
        <v>كالاهاي مصرفي</v>
      </c>
      <c r="C717" s="3" t="str">
        <f>"انبار مصرفي ZU1"</f>
        <v>انبار مصرفي ZU1</v>
      </c>
      <c r="D717" s="3" t="str">
        <f>"0204000804"</f>
        <v>0204000804</v>
      </c>
      <c r="E717" s="3" t="str">
        <f>"ورق لاستيك منجيد دار ضخامت 6 ميليمتر"</f>
        <v>ورق لاستيك منجيد دار ضخامت 6 ميليمتر</v>
      </c>
      <c r="F717" s="3" t="str">
        <f>"کيلوگرم"</f>
        <v>کيلوگرم</v>
      </c>
      <c r="G717" s="3">
        <v>18</v>
      </c>
      <c r="H717" s="5">
        <v>2340000</v>
      </c>
    </row>
    <row r="718" spans="1:8" ht="18.75" x14ac:dyDescent="0.2">
      <c r="A718" s="3" t="str">
        <f t="shared" si="93"/>
        <v>98/11/26</v>
      </c>
      <c r="B718" s="3" t="str">
        <f t="shared" si="94"/>
        <v>كالاهاي مصرفي</v>
      </c>
      <c r="C718" s="3" t="str">
        <f>"انبار مركزي ( عمومي )"</f>
        <v>انبار مركزي ( عمومي )</v>
      </c>
      <c r="D718" s="3" t="str">
        <f>"0202000037"</f>
        <v>0202000037</v>
      </c>
      <c r="E718" s="3" t="str">
        <f>"كليد صفر و يك 25 آمپر غلطكي"</f>
        <v>كليد صفر و يك 25 آمپر غلطكي</v>
      </c>
      <c r="F718" s="3" t="str">
        <f t="shared" ref="F718:F747" si="95">"عدد"</f>
        <v>عدد</v>
      </c>
      <c r="G718" s="3">
        <v>10</v>
      </c>
      <c r="H718" s="5">
        <v>2350000</v>
      </c>
    </row>
    <row r="719" spans="1:8" ht="18.75" x14ac:dyDescent="0.2">
      <c r="A719" s="3" t="str">
        <f t="shared" si="93"/>
        <v>98/11/26</v>
      </c>
      <c r="B719" s="3" t="str">
        <f t="shared" si="94"/>
        <v>كالاهاي مصرفي</v>
      </c>
      <c r="C719" s="3" t="str">
        <f>"انبار مصرفي ZU1"</f>
        <v>انبار مصرفي ZU1</v>
      </c>
      <c r="D719" s="3" t="str">
        <f>"0213000097"</f>
        <v>0213000097</v>
      </c>
      <c r="E719" s="3" t="str">
        <f>"پيچ استنلس استيل M16*150"</f>
        <v>پيچ استنلس استيل M16*150</v>
      </c>
      <c r="F719" s="3" t="str">
        <f t="shared" si="95"/>
        <v>عدد</v>
      </c>
      <c r="G719" s="3">
        <v>34</v>
      </c>
      <c r="H719" s="5">
        <v>2364700</v>
      </c>
    </row>
    <row r="720" spans="1:8" ht="18.75" x14ac:dyDescent="0.2">
      <c r="A720" s="3" t="str">
        <f t="shared" si="93"/>
        <v>98/11/26</v>
      </c>
      <c r="B720" s="3" t="str">
        <f t="shared" si="94"/>
        <v>كالاهاي مصرفي</v>
      </c>
      <c r="C720" s="3" t="str">
        <f>"انبار مصرفي ZU1"</f>
        <v>انبار مصرفي ZU1</v>
      </c>
      <c r="D720" s="3" t="str">
        <f>"0204000721"</f>
        <v>0204000721</v>
      </c>
      <c r="E720" s="3" t="str">
        <f>"كاسه نمد Mild Steel 24*40*5 AIB"</f>
        <v>كاسه نمد Mild Steel 24*40*5 AIB</v>
      </c>
      <c r="F720" s="3" t="str">
        <f t="shared" si="95"/>
        <v>عدد</v>
      </c>
      <c r="G720" s="3">
        <v>5</v>
      </c>
      <c r="H720" s="5">
        <v>2365000</v>
      </c>
    </row>
    <row r="721" spans="1:8" ht="18.75" x14ac:dyDescent="0.2">
      <c r="A721" s="3" t="str">
        <f t="shared" si="93"/>
        <v>98/11/26</v>
      </c>
      <c r="B721" s="3" t="str">
        <f t="shared" si="94"/>
        <v>كالاهاي مصرفي</v>
      </c>
      <c r="C721" s="3" t="str">
        <f>"انبار مركزي ( عمومي )"</f>
        <v>انبار مركزي ( عمومي )</v>
      </c>
      <c r="D721" s="3" t="str">
        <f>"0206000028"</f>
        <v>0206000028</v>
      </c>
      <c r="E721" s="3" t="str">
        <f>"مغزي شير مخلوط 1/2"</f>
        <v>مغزي شير مخلوط 1/2</v>
      </c>
      <c r="F721" s="3" t="str">
        <f t="shared" si="95"/>
        <v>عدد</v>
      </c>
      <c r="G721" s="3">
        <v>30</v>
      </c>
      <c r="H721" s="5">
        <v>2370000</v>
      </c>
    </row>
    <row r="722" spans="1:8" ht="18.75" x14ac:dyDescent="0.2">
      <c r="A722" s="3" t="str">
        <f t="shared" si="93"/>
        <v>98/11/26</v>
      </c>
      <c r="B722" s="3" t="str">
        <f t="shared" si="94"/>
        <v>كالاهاي مصرفي</v>
      </c>
      <c r="C722" s="3" t="str">
        <f>"انبار مصرفي ZU1"</f>
        <v>انبار مصرفي ZU1</v>
      </c>
      <c r="D722" s="3" t="str">
        <f>"0204000164"</f>
        <v>0204000164</v>
      </c>
      <c r="E722" s="3" t="str">
        <f>"بيرينگ 2Z/C3-6210"</f>
        <v>بيرينگ 2Z/C3-6210</v>
      </c>
      <c r="F722" s="3" t="str">
        <f t="shared" si="95"/>
        <v>عدد</v>
      </c>
      <c r="G722" s="3">
        <v>8</v>
      </c>
      <c r="H722" s="5">
        <v>2380000</v>
      </c>
    </row>
    <row r="723" spans="1:8" ht="18.75" x14ac:dyDescent="0.2">
      <c r="A723" s="3" t="str">
        <f t="shared" si="93"/>
        <v>98/11/26</v>
      </c>
      <c r="B723" s="3" t="str">
        <f t="shared" si="94"/>
        <v>كالاهاي مصرفي</v>
      </c>
      <c r="C723" s="3" t="str">
        <f>"انبار مصرفي ZU1"</f>
        <v>انبار مصرفي ZU1</v>
      </c>
      <c r="D723" s="3" t="str">
        <f>"0204001380"</f>
        <v>0204001380</v>
      </c>
      <c r="E723" s="3" t="str">
        <f>"اورينگ HNBR47*3.8"</f>
        <v>اورينگ HNBR47*3.8</v>
      </c>
      <c r="F723" s="3" t="str">
        <f t="shared" si="95"/>
        <v>عدد</v>
      </c>
      <c r="G723" s="3">
        <v>17</v>
      </c>
      <c r="H723" s="5">
        <v>2380000</v>
      </c>
    </row>
    <row r="724" spans="1:8" ht="18.75" x14ac:dyDescent="0.2">
      <c r="A724" s="3" t="str">
        <f t="shared" si="93"/>
        <v>98/11/26</v>
      </c>
      <c r="B724" s="3" t="str">
        <f t="shared" si="94"/>
        <v>كالاهاي مصرفي</v>
      </c>
      <c r="C724" s="3" t="str">
        <f>"انبار مركزي ( عمومي )"</f>
        <v>انبار مركزي ( عمومي )</v>
      </c>
      <c r="D724" s="3" t="str">
        <f>"0601000092"</f>
        <v>0601000092</v>
      </c>
      <c r="E724" s="3" t="str">
        <f>"عينك آزمايشگاهي"</f>
        <v>عينك آزمايشگاهي</v>
      </c>
      <c r="F724" s="3" t="str">
        <f t="shared" si="95"/>
        <v>عدد</v>
      </c>
      <c r="G724" s="3">
        <v>10</v>
      </c>
      <c r="H724" s="5">
        <v>2396665</v>
      </c>
    </row>
    <row r="725" spans="1:8" ht="18.75" x14ac:dyDescent="0.2">
      <c r="A725" s="3" t="str">
        <f t="shared" si="93"/>
        <v>98/11/26</v>
      </c>
      <c r="B725" s="3" t="str">
        <f t="shared" si="94"/>
        <v>كالاهاي مصرفي</v>
      </c>
      <c r="C725" s="3" t="str">
        <f>"انبار مركزي ( عمومي )"</f>
        <v>انبار مركزي ( عمومي )</v>
      </c>
      <c r="D725" s="3" t="str">
        <f>"0105000010"</f>
        <v>0105000010</v>
      </c>
      <c r="E725" s="3" t="str">
        <f>"چسب مايع كاغذ"</f>
        <v>چسب مايع كاغذ</v>
      </c>
      <c r="F725" s="3" t="str">
        <f t="shared" si="95"/>
        <v>عدد</v>
      </c>
      <c r="G725" s="3">
        <v>23</v>
      </c>
      <c r="H725" s="5">
        <v>2400000</v>
      </c>
    </row>
    <row r="726" spans="1:8" ht="18.75" x14ac:dyDescent="0.2">
      <c r="A726" s="3" t="str">
        <f t="shared" si="93"/>
        <v>98/11/26</v>
      </c>
      <c r="B726" s="3" t="str">
        <f t="shared" si="94"/>
        <v>كالاهاي مصرفي</v>
      </c>
      <c r="C726" s="3" t="str">
        <f>"انبار مركزي ( عمومي )"</f>
        <v>انبار مركزي ( عمومي )</v>
      </c>
      <c r="D726" s="3" t="str">
        <f>"0203000031"</f>
        <v>0203000031</v>
      </c>
      <c r="E726" s="3" t="str">
        <f>"آچار يكسر رينگ و يكسر تخت 27"</f>
        <v>آچار يكسر رينگ و يكسر تخت 27</v>
      </c>
      <c r="F726" s="3" t="str">
        <f t="shared" si="95"/>
        <v>عدد</v>
      </c>
      <c r="G726" s="3">
        <v>5</v>
      </c>
      <c r="H726" s="5">
        <v>2400000</v>
      </c>
    </row>
    <row r="727" spans="1:8" ht="18.75" x14ac:dyDescent="0.2">
      <c r="A727" s="3" t="str">
        <f t="shared" si="93"/>
        <v>98/11/26</v>
      </c>
      <c r="B727" s="3" t="str">
        <f t="shared" si="94"/>
        <v>كالاهاي مصرفي</v>
      </c>
      <c r="C727" s="3" t="str">
        <f>"انبار مركزي ( عمومي )"</f>
        <v>انبار مركزي ( عمومي )</v>
      </c>
      <c r="D727" s="3" t="str">
        <f>"0203000286"</f>
        <v>0203000286</v>
      </c>
      <c r="E727" s="3" t="str">
        <f>"نگهدارنده آچار تخت (8 عددي)"</f>
        <v>نگهدارنده آچار تخت (8 عددي)</v>
      </c>
      <c r="F727" s="3" t="str">
        <f t="shared" si="95"/>
        <v>عدد</v>
      </c>
      <c r="G727" s="3">
        <v>4</v>
      </c>
      <c r="H727" s="5">
        <v>2400000</v>
      </c>
    </row>
    <row r="728" spans="1:8" ht="18.75" x14ac:dyDescent="0.2">
      <c r="A728" s="3" t="str">
        <f t="shared" si="93"/>
        <v>98/11/26</v>
      </c>
      <c r="B728" s="3" t="str">
        <f t="shared" si="94"/>
        <v>كالاهاي مصرفي</v>
      </c>
      <c r="C728" s="3" t="str">
        <f t="shared" ref="C728:C733" si="96">"انبار مصرفي ZU1"</f>
        <v>انبار مصرفي ZU1</v>
      </c>
      <c r="D728" s="3" t="str">
        <f>"0204000099"</f>
        <v>0204000099</v>
      </c>
      <c r="E728" s="3" t="str">
        <f>"بيرينگ C3-6311"</f>
        <v>بيرينگ C3-6311</v>
      </c>
      <c r="F728" s="3" t="str">
        <f t="shared" si="95"/>
        <v>عدد</v>
      </c>
      <c r="G728" s="3">
        <v>2</v>
      </c>
      <c r="H728" s="5">
        <v>2400000</v>
      </c>
    </row>
    <row r="729" spans="1:8" ht="18.75" x14ac:dyDescent="0.2">
      <c r="A729" s="3" t="str">
        <f t="shared" si="93"/>
        <v>98/11/26</v>
      </c>
      <c r="B729" s="3" t="str">
        <f t="shared" si="94"/>
        <v>كالاهاي مصرفي</v>
      </c>
      <c r="C729" s="3" t="str">
        <f t="shared" si="96"/>
        <v>انبار مصرفي ZU1</v>
      </c>
      <c r="D729" s="3" t="str">
        <f>"0204000396"</f>
        <v>0204000396</v>
      </c>
      <c r="E729" s="3" t="str">
        <f>"بيرينگ NJ308-C2"</f>
        <v>بيرينگ NJ308-C2</v>
      </c>
      <c r="F729" s="3" t="str">
        <f t="shared" si="95"/>
        <v>عدد</v>
      </c>
      <c r="G729" s="3">
        <v>2</v>
      </c>
      <c r="H729" s="5">
        <v>2400000</v>
      </c>
    </row>
    <row r="730" spans="1:8" ht="18.75" x14ac:dyDescent="0.2">
      <c r="A730" s="3" t="str">
        <f t="shared" si="93"/>
        <v>98/11/26</v>
      </c>
      <c r="B730" s="3" t="str">
        <f t="shared" si="94"/>
        <v>كالاهاي مصرفي</v>
      </c>
      <c r="C730" s="3" t="str">
        <f t="shared" si="96"/>
        <v>انبار مصرفي ZU1</v>
      </c>
      <c r="D730" s="3" t="str">
        <f>"0204000591"</f>
        <v>0204000591</v>
      </c>
      <c r="E730" s="3" t="str">
        <f>"بيرينگ 3306-A"</f>
        <v>بيرينگ 3306-A</v>
      </c>
      <c r="F730" s="3" t="str">
        <f t="shared" si="95"/>
        <v>عدد</v>
      </c>
      <c r="G730" s="3">
        <v>2</v>
      </c>
      <c r="H730" s="5">
        <v>2400000</v>
      </c>
    </row>
    <row r="731" spans="1:8" ht="18.75" x14ac:dyDescent="0.2">
      <c r="A731" s="3" t="str">
        <f t="shared" si="93"/>
        <v>98/11/26</v>
      </c>
      <c r="B731" s="3" t="str">
        <f t="shared" si="94"/>
        <v>كالاهاي مصرفي</v>
      </c>
      <c r="C731" s="3" t="str">
        <f t="shared" si="96"/>
        <v>انبار مصرفي ZU1</v>
      </c>
      <c r="D731" s="3" t="str">
        <f>"0204001099"</f>
        <v>0204001099</v>
      </c>
      <c r="E731" s="3" t="str">
        <f>"لرزه گير بيرينگ 3206"</f>
        <v>لرزه گير بيرينگ 3206</v>
      </c>
      <c r="F731" s="3" t="str">
        <f t="shared" si="95"/>
        <v>عدد</v>
      </c>
      <c r="G731" s="3">
        <v>60</v>
      </c>
      <c r="H731" s="5">
        <v>2400000</v>
      </c>
    </row>
    <row r="732" spans="1:8" ht="18.75" x14ac:dyDescent="0.2">
      <c r="A732" s="3" t="str">
        <f t="shared" si="93"/>
        <v>98/11/26</v>
      </c>
      <c r="B732" s="3" t="str">
        <f t="shared" si="94"/>
        <v>كالاهاي مصرفي</v>
      </c>
      <c r="C732" s="3" t="str">
        <f t="shared" si="96"/>
        <v>انبار مصرفي ZU1</v>
      </c>
      <c r="D732" s="3" t="str">
        <f>"0209000112"</f>
        <v>0209000112</v>
      </c>
      <c r="E732" s="3" t="str">
        <f>"سوزن اكسپنشن والو دانفوس"</f>
        <v>سوزن اكسپنشن والو دانفوس</v>
      </c>
      <c r="F732" s="3" t="str">
        <f t="shared" si="95"/>
        <v>عدد</v>
      </c>
      <c r="G732" s="3">
        <v>4</v>
      </c>
      <c r="H732" s="5">
        <v>2400000</v>
      </c>
    </row>
    <row r="733" spans="1:8" ht="18.75" x14ac:dyDescent="0.2">
      <c r="A733" s="3" t="str">
        <f t="shared" si="93"/>
        <v>98/11/26</v>
      </c>
      <c r="B733" s="3" t="str">
        <f t="shared" si="94"/>
        <v>كالاهاي مصرفي</v>
      </c>
      <c r="C733" s="3" t="str">
        <f t="shared" si="96"/>
        <v>انبار مصرفي ZU1</v>
      </c>
      <c r="D733" s="3" t="str">
        <f>"0213000247"</f>
        <v>0213000247</v>
      </c>
      <c r="E733" s="3" t="str">
        <f>"پيچ خودكار گالوانيزه M4*20"</f>
        <v>پيچ خودكار گالوانيزه M4*20</v>
      </c>
      <c r="F733" s="3" t="str">
        <f t="shared" si="95"/>
        <v>عدد</v>
      </c>
      <c r="G733" s="3">
        <v>4000</v>
      </c>
      <c r="H733" s="5">
        <v>2400000</v>
      </c>
    </row>
    <row r="734" spans="1:8" ht="18.75" x14ac:dyDescent="0.2">
      <c r="A734" s="3" t="str">
        <f t="shared" si="93"/>
        <v>98/11/26</v>
      </c>
      <c r="B734" s="3" t="str">
        <f t="shared" si="94"/>
        <v>كالاهاي مصرفي</v>
      </c>
      <c r="C734" s="3" t="str">
        <f>"انبار مركزي ( عمومي )"</f>
        <v>انبار مركزي ( عمومي )</v>
      </c>
      <c r="D734" s="3" t="str">
        <f>"0213000936"</f>
        <v>0213000936</v>
      </c>
      <c r="E734" s="3" t="str">
        <f>"مته الماسه معمولي نمره 26"</f>
        <v>مته الماسه معمولي نمره 26</v>
      </c>
      <c r="F734" s="3" t="str">
        <f t="shared" si="95"/>
        <v>عدد</v>
      </c>
      <c r="G734" s="3">
        <v>4</v>
      </c>
      <c r="H734" s="5">
        <v>2400000</v>
      </c>
    </row>
    <row r="735" spans="1:8" ht="18.75" x14ac:dyDescent="0.2">
      <c r="A735" s="3" t="str">
        <f t="shared" si="93"/>
        <v>98/11/26</v>
      </c>
      <c r="B735" s="3" t="str">
        <f t="shared" si="94"/>
        <v>كالاهاي مصرفي</v>
      </c>
      <c r="C735" s="3" t="str">
        <f>"انبار مركزي ( عمومي )"</f>
        <v>انبار مركزي ( عمومي )</v>
      </c>
      <c r="D735" s="3" t="str">
        <f>"0213000706"</f>
        <v>0213000706</v>
      </c>
      <c r="E735" s="3" t="str">
        <f>"جارو دستي"</f>
        <v>جارو دستي</v>
      </c>
      <c r="F735" s="3" t="str">
        <f t="shared" si="95"/>
        <v>عدد</v>
      </c>
      <c r="G735" s="3">
        <v>38</v>
      </c>
      <c r="H735" s="5">
        <v>2402941</v>
      </c>
    </row>
    <row r="736" spans="1:8" ht="18.75" x14ac:dyDescent="0.2">
      <c r="A736" s="3" t="str">
        <f t="shared" si="93"/>
        <v>98/11/26</v>
      </c>
      <c r="B736" s="3" t="str">
        <f t="shared" si="94"/>
        <v>كالاهاي مصرفي</v>
      </c>
      <c r="C736" s="3" t="str">
        <f>"انبار مصرفي ZU1"</f>
        <v>انبار مصرفي ZU1</v>
      </c>
      <c r="D736" s="3" t="str">
        <f>"0204000722"</f>
        <v>0204000722</v>
      </c>
      <c r="E736" s="3" t="str">
        <f>"كاسه نمد Mild Steel 30*42*5 AIB"</f>
        <v>كاسه نمد Mild Steel 30*42*5 AIB</v>
      </c>
      <c r="F736" s="3" t="str">
        <f t="shared" si="95"/>
        <v>عدد</v>
      </c>
      <c r="G736" s="3">
        <v>5</v>
      </c>
      <c r="H736" s="5">
        <v>2410000</v>
      </c>
    </row>
    <row r="737" spans="1:8" ht="18.75" x14ac:dyDescent="0.2">
      <c r="A737" s="3" t="str">
        <f t="shared" si="93"/>
        <v>98/11/26</v>
      </c>
      <c r="B737" s="3" t="str">
        <f t="shared" si="94"/>
        <v>كالاهاي مصرفي</v>
      </c>
      <c r="C737" s="3" t="str">
        <f>"انبار مصرفي ZU1"</f>
        <v>انبار مصرفي ZU1</v>
      </c>
      <c r="D737" s="3" t="str">
        <f>"0204000953"</f>
        <v>0204000953</v>
      </c>
      <c r="E737" s="3" t="str">
        <f>"بيرينگ 6209 2RS"</f>
        <v>بيرينگ 6209 2RS</v>
      </c>
      <c r="F737" s="3" t="str">
        <f t="shared" si="95"/>
        <v>عدد</v>
      </c>
      <c r="G737" s="3">
        <v>1</v>
      </c>
      <c r="H737" s="5">
        <v>2412000</v>
      </c>
    </row>
    <row r="738" spans="1:8" ht="18.75" x14ac:dyDescent="0.2">
      <c r="A738" s="3" t="str">
        <f t="shared" si="93"/>
        <v>98/11/26</v>
      </c>
      <c r="B738" s="3" t="str">
        <f t="shared" si="94"/>
        <v>كالاهاي مصرفي</v>
      </c>
      <c r="C738" s="3" t="str">
        <f>"انبار مركزي ( عمومي )"</f>
        <v>انبار مركزي ( عمومي )</v>
      </c>
      <c r="D738" s="3" t="str">
        <f>"0203000151"</f>
        <v>0203000151</v>
      </c>
      <c r="E738" s="3" t="str">
        <f>"آچار لوله گير كلاغي 2 اينچ"</f>
        <v>آچار لوله گير كلاغي 2 اينچ</v>
      </c>
      <c r="F738" s="3" t="str">
        <f t="shared" si="95"/>
        <v>عدد</v>
      </c>
      <c r="G738" s="3">
        <v>4</v>
      </c>
      <c r="H738" s="5">
        <v>2420000</v>
      </c>
    </row>
    <row r="739" spans="1:8" ht="18.75" x14ac:dyDescent="0.2">
      <c r="A739" s="3" t="str">
        <f t="shared" si="93"/>
        <v>98/11/26</v>
      </c>
      <c r="B739" s="3" t="str">
        <f t="shared" si="94"/>
        <v>كالاهاي مصرفي</v>
      </c>
      <c r="C739" s="3" t="str">
        <f>"انبار مصرفي ZU1"</f>
        <v>انبار مصرفي ZU1</v>
      </c>
      <c r="D739" s="3" t="str">
        <f>"0204001321"</f>
        <v>0204001321</v>
      </c>
      <c r="E739" s="3" t="str">
        <f>"اورينگ HNBR 228*3.6"</f>
        <v>اورينگ HNBR 228*3.6</v>
      </c>
      <c r="F739" s="3" t="str">
        <f t="shared" si="95"/>
        <v>عدد</v>
      </c>
      <c r="G739" s="3">
        <v>6</v>
      </c>
      <c r="H739" s="5">
        <v>2436000</v>
      </c>
    </row>
    <row r="740" spans="1:8" ht="18.75" x14ac:dyDescent="0.2">
      <c r="A740" s="3" t="str">
        <f t="shared" si="93"/>
        <v>98/11/26</v>
      </c>
      <c r="B740" s="3" t="str">
        <f t="shared" si="94"/>
        <v>كالاهاي مصرفي</v>
      </c>
      <c r="C740" s="3" t="str">
        <f>"انبار مصرفي ZU1"</f>
        <v>انبار مصرفي ZU1</v>
      </c>
      <c r="D740" s="3" t="str">
        <f>"0213000943"</f>
        <v>0213000943</v>
      </c>
      <c r="E740" s="3" t="str">
        <f>"پيچ تمام رزوه M20*110"</f>
        <v>پيچ تمام رزوه M20*110</v>
      </c>
      <c r="F740" s="3" t="str">
        <f t="shared" si="95"/>
        <v>عدد</v>
      </c>
      <c r="G740" s="3">
        <v>64</v>
      </c>
      <c r="H740" s="5">
        <v>2438400</v>
      </c>
    </row>
    <row r="741" spans="1:8" ht="18.75" x14ac:dyDescent="0.2">
      <c r="A741" s="3" t="str">
        <f t="shared" si="93"/>
        <v>98/11/26</v>
      </c>
      <c r="B741" s="3" t="str">
        <f t="shared" si="94"/>
        <v>كالاهاي مصرفي</v>
      </c>
      <c r="C741" s="3" t="str">
        <f t="shared" ref="C741:C748" si="97">"انبار مركزي ( عمومي )"</f>
        <v>انبار مركزي ( عمومي )</v>
      </c>
      <c r="D741" s="3" t="str">
        <f>"0211000064"</f>
        <v>0211000064</v>
      </c>
      <c r="E741" s="3" t="str">
        <f>"فيوز سراميكي 1 آمپر ابعاد 5*20"</f>
        <v>فيوز سراميكي 1 آمپر ابعاد 5*20</v>
      </c>
      <c r="F741" s="3" t="str">
        <f t="shared" si="95"/>
        <v>عدد</v>
      </c>
      <c r="G741" s="3">
        <v>50</v>
      </c>
      <c r="H741" s="5">
        <v>2450000</v>
      </c>
    </row>
    <row r="742" spans="1:8" ht="18.75" x14ac:dyDescent="0.2">
      <c r="A742" s="3" t="str">
        <f t="shared" si="93"/>
        <v>98/11/26</v>
      </c>
      <c r="B742" s="3" t="str">
        <f t="shared" si="94"/>
        <v>كالاهاي مصرفي</v>
      </c>
      <c r="C742" s="3" t="str">
        <f t="shared" si="97"/>
        <v>انبار مركزي ( عمومي )</v>
      </c>
      <c r="D742" s="3" t="str">
        <f>"0211000066"</f>
        <v>0211000066</v>
      </c>
      <c r="E742" s="3" t="str">
        <f>"فيوز سراميكي 5 آمپر ابعاد 5*20"</f>
        <v>فيوز سراميكي 5 آمپر ابعاد 5*20</v>
      </c>
      <c r="F742" s="3" t="str">
        <f t="shared" si="95"/>
        <v>عدد</v>
      </c>
      <c r="G742" s="3">
        <v>50</v>
      </c>
      <c r="H742" s="5">
        <v>2450000</v>
      </c>
    </row>
    <row r="743" spans="1:8" ht="18.75" x14ac:dyDescent="0.2">
      <c r="A743" s="3" t="str">
        <f t="shared" si="93"/>
        <v>98/11/26</v>
      </c>
      <c r="B743" s="3" t="str">
        <f t="shared" si="94"/>
        <v>كالاهاي مصرفي</v>
      </c>
      <c r="C743" s="3" t="str">
        <f t="shared" si="97"/>
        <v>انبار مركزي ( عمومي )</v>
      </c>
      <c r="D743" s="3" t="str">
        <f>"0211000069"</f>
        <v>0211000069</v>
      </c>
      <c r="E743" s="3" t="str">
        <f>"فيوز سراميكي 1 آمپر ابعاد 38*10"</f>
        <v>فيوز سراميكي 1 آمپر ابعاد 38*10</v>
      </c>
      <c r="F743" s="3" t="str">
        <f t="shared" si="95"/>
        <v>عدد</v>
      </c>
      <c r="G743" s="3">
        <v>50</v>
      </c>
      <c r="H743" s="5">
        <v>2450000</v>
      </c>
    </row>
    <row r="744" spans="1:8" ht="18.75" x14ac:dyDescent="0.2">
      <c r="A744" s="3" t="str">
        <f t="shared" si="93"/>
        <v>98/11/26</v>
      </c>
      <c r="B744" s="3" t="str">
        <f t="shared" si="94"/>
        <v>كالاهاي مصرفي</v>
      </c>
      <c r="C744" s="3" t="str">
        <f t="shared" si="97"/>
        <v>انبار مركزي ( عمومي )</v>
      </c>
      <c r="D744" s="3" t="str">
        <f>"0211000070"</f>
        <v>0211000070</v>
      </c>
      <c r="E744" s="3" t="str">
        <f>"فيوز سراميكي 2 آمپر ابعاد 38*10"</f>
        <v>فيوز سراميكي 2 آمپر ابعاد 38*10</v>
      </c>
      <c r="F744" s="3" t="str">
        <f t="shared" si="95"/>
        <v>عدد</v>
      </c>
      <c r="G744" s="3">
        <v>50</v>
      </c>
      <c r="H744" s="5">
        <v>2450000</v>
      </c>
    </row>
    <row r="745" spans="1:8" ht="18.75" x14ac:dyDescent="0.2">
      <c r="A745" s="3" t="str">
        <f t="shared" si="93"/>
        <v>98/11/26</v>
      </c>
      <c r="B745" s="3" t="str">
        <f t="shared" si="94"/>
        <v>كالاهاي مصرفي</v>
      </c>
      <c r="C745" s="3" t="str">
        <f t="shared" si="97"/>
        <v>انبار مركزي ( عمومي )</v>
      </c>
      <c r="D745" s="3" t="str">
        <f>"0211000071"</f>
        <v>0211000071</v>
      </c>
      <c r="E745" s="3" t="str">
        <f>"فيوز سراميكي 5 آمپر ابعاد 38*10"</f>
        <v>فيوز سراميكي 5 آمپر ابعاد 38*10</v>
      </c>
      <c r="F745" s="3" t="str">
        <f t="shared" si="95"/>
        <v>عدد</v>
      </c>
      <c r="G745" s="3">
        <v>50</v>
      </c>
      <c r="H745" s="5">
        <v>2450000</v>
      </c>
    </row>
    <row r="746" spans="1:8" ht="18.75" x14ac:dyDescent="0.2">
      <c r="A746" s="3" t="str">
        <f t="shared" si="93"/>
        <v>98/11/26</v>
      </c>
      <c r="B746" s="3" t="str">
        <f t="shared" si="94"/>
        <v>كالاهاي مصرفي</v>
      </c>
      <c r="C746" s="3" t="str">
        <f t="shared" si="97"/>
        <v>انبار مركزي ( عمومي )</v>
      </c>
      <c r="D746" s="3" t="str">
        <f>"0211000100"</f>
        <v>0211000100</v>
      </c>
      <c r="E746" s="3" t="str">
        <f>"فيوز سراميكي 2 آمپر ابعاد 4*15"</f>
        <v>فيوز سراميكي 2 آمپر ابعاد 4*15</v>
      </c>
      <c r="F746" s="3" t="str">
        <f t="shared" si="95"/>
        <v>عدد</v>
      </c>
      <c r="G746" s="3">
        <v>50</v>
      </c>
      <c r="H746" s="5">
        <v>2450000</v>
      </c>
    </row>
    <row r="747" spans="1:8" ht="18.75" x14ac:dyDescent="0.2">
      <c r="A747" s="3" t="str">
        <f t="shared" si="93"/>
        <v>98/11/26</v>
      </c>
      <c r="B747" s="3" t="str">
        <f t="shared" si="94"/>
        <v>كالاهاي مصرفي</v>
      </c>
      <c r="C747" s="3" t="str">
        <f t="shared" si="97"/>
        <v>انبار مركزي ( عمومي )</v>
      </c>
      <c r="D747" s="3" t="str">
        <f>"0211000102"</f>
        <v>0211000102</v>
      </c>
      <c r="E747" s="3" t="str">
        <f>"فيوز سراميكي 5 آمپر ابعاد 4*15"</f>
        <v>فيوز سراميكي 5 آمپر ابعاد 4*15</v>
      </c>
      <c r="F747" s="3" t="str">
        <f t="shared" si="95"/>
        <v>عدد</v>
      </c>
      <c r="G747" s="3">
        <v>50</v>
      </c>
      <c r="H747" s="5">
        <v>2450000</v>
      </c>
    </row>
    <row r="748" spans="1:8" ht="18.75" x14ac:dyDescent="0.2">
      <c r="A748" s="3" t="str">
        <f t="shared" si="93"/>
        <v>98/11/26</v>
      </c>
      <c r="B748" s="3" t="str">
        <f t="shared" si="94"/>
        <v>كالاهاي مصرفي</v>
      </c>
      <c r="C748" s="3" t="str">
        <f t="shared" si="97"/>
        <v>انبار مركزي ( عمومي )</v>
      </c>
      <c r="D748" s="3" t="str">
        <f>"0307000125"</f>
        <v>0307000125</v>
      </c>
      <c r="E748" s="3" t="str">
        <f>"منگنه كوب بادي"</f>
        <v>منگنه كوب بادي</v>
      </c>
      <c r="F748" s="3" t="str">
        <f>"دستگاه"</f>
        <v>دستگاه</v>
      </c>
      <c r="G748" s="3">
        <v>1</v>
      </c>
      <c r="H748" s="5">
        <v>2450000</v>
      </c>
    </row>
    <row r="749" spans="1:8" ht="18.75" x14ac:dyDescent="0.2">
      <c r="A749" s="3" t="str">
        <f t="shared" si="93"/>
        <v>98/11/26</v>
      </c>
      <c r="B749" s="3" t="str">
        <f t="shared" si="94"/>
        <v>كالاهاي مصرفي</v>
      </c>
      <c r="C749" s="3" t="str">
        <f t="shared" ref="C749:C758" si="98">"انبار مصرفي ZU1"</f>
        <v>انبار مصرفي ZU1</v>
      </c>
      <c r="D749" s="3" t="str">
        <f>"0213000452"</f>
        <v>0213000452</v>
      </c>
      <c r="E749" s="3" t="str">
        <f>"واشر استنلس استيل M24"</f>
        <v>واشر استنلس استيل M24</v>
      </c>
      <c r="F749" s="3" t="str">
        <f>"عدد"</f>
        <v>عدد</v>
      </c>
      <c r="G749" s="3">
        <v>193</v>
      </c>
      <c r="H749" s="5">
        <v>2461715</v>
      </c>
    </row>
    <row r="750" spans="1:8" ht="18.75" x14ac:dyDescent="0.2">
      <c r="A750" s="3" t="str">
        <f t="shared" si="93"/>
        <v>98/11/26</v>
      </c>
      <c r="B750" s="3" t="str">
        <f t="shared" si="94"/>
        <v>كالاهاي مصرفي</v>
      </c>
      <c r="C750" s="3" t="str">
        <f t="shared" si="98"/>
        <v>انبار مصرفي ZU1</v>
      </c>
      <c r="D750" s="3" t="str">
        <f>"0304000071"</f>
        <v>0304000071</v>
      </c>
      <c r="E750" s="3" t="str">
        <f>"شير يكطرفه 2 اينچ"</f>
        <v>شير يكطرفه 2 اينچ</v>
      </c>
      <c r="F750" s="3" t="str">
        <f>"عدد"</f>
        <v>عدد</v>
      </c>
      <c r="G750" s="3">
        <v>1</v>
      </c>
      <c r="H750" s="5">
        <v>2466667</v>
      </c>
    </row>
    <row r="751" spans="1:8" ht="18.75" x14ac:dyDescent="0.2">
      <c r="A751" s="3" t="str">
        <f t="shared" si="93"/>
        <v>98/11/26</v>
      </c>
      <c r="B751" s="3" t="str">
        <f t="shared" si="94"/>
        <v>كالاهاي مصرفي</v>
      </c>
      <c r="C751" s="3" t="str">
        <f t="shared" si="98"/>
        <v>انبار مصرفي ZU1</v>
      </c>
      <c r="D751" s="3" t="str">
        <f>"0204000273"</f>
        <v>0204000273</v>
      </c>
      <c r="E751" s="3" t="str">
        <f>"واشر ويكتوري 5/. ميليمتر"</f>
        <v>واشر ويكتوري 5/. ميليمتر</v>
      </c>
      <c r="F751" s="3" t="str">
        <f>"متر"</f>
        <v>متر</v>
      </c>
      <c r="G751" s="3">
        <v>9</v>
      </c>
      <c r="H751" s="5">
        <v>2475000</v>
      </c>
    </row>
    <row r="752" spans="1:8" ht="18.75" x14ac:dyDescent="0.2">
      <c r="A752" s="3" t="str">
        <f t="shared" si="93"/>
        <v>98/11/26</v>
      </c>
      <c r="B752" s="3" t="str">
        <f t="shared" si="94"/>
        <v>كالاهاي مصرفي</v>
      </c>
      <c r="C752" s="3" t="str">
        <f t="shared" si="98"/>
        <v>انبار مصرفي ZU1</v>
      </c>
      <c r="D752" s="3" t="str">
        <f>"0204001347"</f>
        <v>0204001347</v>
      </c>
      <c r="E752" s="3" t="str">
        <f>"اورينگ HNBR 165*4.0"</f>
        <v>اورينگ HNBR 165*4.0</v>
      </c>
      <c r="F752" s="3" t="str">
        <f>"عدد"</f>
        <v>عدد</v>
      </c>
      <c r="G752" s="3">
        <v>9</v>
      </c>
      <c r="H752" s="5">
        <v>2475000</v>
      </c>
    </row>
    <row r="753" spans="1:8" ht="18.75" x14ac:dyDescent="0.2">
      <c r="A753" s="3" t="str">
        <f t="shared" si="93"/>
        <v>98/11/26</v>
      </c>
      <c r="B753" s="3" t="str">
        <f t="shared" si="94"/>
        <v>كالاهاي مصرفي</v>
      </c>
      <c r="C753" s="3" t="str">
        <f t="shared" si="98"/>
        <v>انبار مصرفي ZU1</v>
      </c>
      <c r="D753" s="3" t="str">
        <f>"0213000140"</f>
        <v>0213000140</v>
      </c>
      <c r="E753" s="3" t="str">
        <f>"پيچ M14*40"</f>
        <v>پيچ M14*40</v>
      </c>
      <c r="F753" s="3" t="str">
        <f>"عدد"</f>
        <v>عدد</v>
      </c>
      <c r="G753" s="3">
        <v>297</v>
      </c>
      <c r="H753" s="5">
        <v>2494800</v>
      </c>
    </row>
    <row r="754" spans="1:8" ht="18.75" x14ac:dyDescent="0.2">
      <c r="A754" s="3" t="str">
        <f t="shared" si="93"/>
        <v>98/11/26</v>
      </c>
      <c r="B754" s="3" t="str">
        <f t="shared" si="94"/>
        <v>كالاهاي مصرفي</v>
      </c>
      <c r="C754" s="3" t="str">
        <f t="shared" si="98"/>
        <v>انبار مصرفي ZU1</v>
      </c>
      <c r="D754" s="3" t="str">
        <f>"0213000036"</f>
        <v>0213000036</v>
      </c>
      <c r="E754" s="3" t="str">
        <f>"پيچ M8*60"</f>
        <v>پيچ M8*60</v>
      </c>
      <c r="F754" s="3" t="str">
        <f>"عدد"</f>
        <v>عدد</v>
      </c>
      <c r="G754" s="3">
        <v>707</v>
      </c>
      <c r="H754" s="5">
        <v>2498066</v>
      </c>
    </row>
    <row r="755" spans="1:8" ht="18.75" x14ac:dyDescent="0.2">
      <c r="A755" s="3" t="str">
        <f t="shared" si="93"/>
        <v>98/11/26</v>
      </c>
      <c r="B755" s="3" t="str">
        <f t="shared" si="94"/>
        <v>كالاهاي مصرفي</v>
      </c>
      <c r="C755" s="3" t="str">
        <f t="shared" si="98"/>
        <v>انبار مصرفي ZU1</v>
      </c>
      <c r="D755" s="3" t="str">
        <f>"0204000171"</f>
        <v>0204000171</v>
      </c>
      <c r="E755" s="3" t="str">
        <f>"واشر پريشمان ضخامت 0/5  ميليمتر"</f>
        <v>واشر پريشمان ضخامت 0/5  ميليمتر</v>
      </c>
      <c r="F755" s="3" t="str">
        <f>"ورق"</f>
        <v>ورق</v>
      </c>
      <c r="G755" s="3">
        <v>1</v>
      </c>
      <c r="H755" s="5">
        <v>2500000</v>
      </c>
    </row>
    <row r="756" spans="1:8" ht="18.75" x14ac:dyDescent="0.2">
      <c r="A756" s="3" t="str">
        <f t="shared" si="93"/>
        <v>98/11/26</v>
      </c>
      <c r="B756" s="3" t="str">
        <f t="shared" si="94"/>
        <v>كالاهاي مصرفي</v>
      </c>
      <c r="C756" s="3" t="str">
        <f t="shared" si="98"/>
        <v>انبار مصرفي ZU1</v>
      </c>
      <c r="D756" s="3" t="str">
        <f>"0204001469"</f>
        <v>0204001469</v>
      </c>
      <c r="E756" s="3" t="str">
        <f>"اورينگ وايتون 115*107*4"</f>
        <v>اورينگ وايتون 115*107*4</v>
      </c>
      <c r="F756" s="3" t="str">
        <f t="shared" ref="F756:F774" si="99">"عدد"</f>
        <v>عدد</v>
      </c>
      <c r="G756" s="3">
        <v>20</v>
      </c>
      <c r="H756" s="5">
        <v>2500000</v>
      </c>
    </row>
    <row r="757" spans="1:8" ht="18.75" x14ac:dyDescent="0.2">
      <c r="A757" s="3" t="str">
        <f t="shared" si="93"/>
        <v>98/11/26</v>
      </c>
      <c r="B757" s="3" t="str">
        <f t="shared" si="94"/>
        <v>كالاهاي مصرفي</v>
      </c>
      <c r="C757" s="3" t="str">
        <f t="shared" si="98"/>
        <v>انبار مصرفي ZU1</v>
      </c>
      <c r="D757" s="3" t="str">
        <f>"0204002115"</f>
        <v>0204002115</v>
      </c>
      <c r="E757" s="3" t="str">
        <f>"واشر اسپيرال 120*110*4.5"</f>
        <v>واشر اسپيرال 120*110*4.5</v>
      </c>
      <c r="F757" s="3" t="str">
        <f t="shared" si="99"/>
        <v>عدد</v>
      </c>
      <c r="G757" s="3">
        <v>10</v>
      </c>
      <c r="H757" s="5">
        <v>2500000</v>
      </c>
    </row>
    <row r="758" spans="1:8" ht="18.75" x14ac:dyDescent="0.2">
      <c r="A758" s="3" t="str">
        <f t="shared" si="93"/>
        <v>98/11/26</v>
      </c>
      <c r="B758" s="3" t="str">
        <f t="shared" si="94"/>
        <v>كالاهاي مصرفي</v>
      </c>
      <c r="C758" s="3" t="str">
        <f t="shared" si="98"/>
        <v>انبار مصرفي ZU1</v>
      </c>
      <c r="D758" s="3" t="str">
        <f>"0206000529"</f>
        <v>0206000529</v>
      </c>
      <c r="E758" s="3" t="str">
        <f>"سه راه تبديل پلي اتيلن 125*250  -16 اتمسفر - 90درجه پي 100"</f>
        <v>سه راه تبديل پلي اتيلن 125*250  -16 اتمسفر - 90درجه پي 100</v>
      </c>
      <c r="F758" s="3" t="str">
        <f t="shared" si="99"/>
        <v>عدد</v>
      </c>
      <c r="G758" s="3">
        <v>1</v>
      </c>
      <c r="H758" s="5">
        <v>2500000</v>
      </c>
    </row>
    <row r="759" spans="1:8" ht="18.75" x14ac:dyDescent="0.2">
      <c r="A759" s="3" t="str">
        <f t="shared" si="93"/>
        <v>98/11/26</v>
      </c>
      <c r="B759" s="3" t="str">
        <f t="shared" si="94"/>
        <v>كالاهاي مصرفي</v>
      </c>
      <c r="C759" s="3" t="str">
        <f>"انبار مركزي ( عمومي )"</f>
        <v>انبار مركزي ( عمومي )</v>
      </c>
      <c r="D759" s="3" t="str">
        <f>"0206000711"</f>
        <v>0206000711</v>
      </c>
      <c r="E759" s="3" t="str">
        <f>"شير مخلوط تك پايه دسته اهرمي روشويي"</f>
        <v>شير مخلوط تك پايه دسته اهرمي روشويي</v>
      </c>
      <c r="F759" s="3" t="str">
        <f t="shared" si="99"/>
        <v>عدد</v>
      </c>
      <c r="G759" s="3">
        <v>1</v>
      </c>
      <c r="H759" s="5">
        <v>2500000</v>
      </c>
    </row>
    <row r="760" spans="1:8" ht="18.75" x14ac:dyDescent="0.2">
      <c r="A760" s="3" t="str">
        <f t="shared" si="93"/>
        <v>98/11/26</v>
      </c>
      <c r="B760" s="3" t="str">
        <f t="shared" si="94"/>
        <v>كالاهاي مصرفي</v>
      </c>
      <c r="C760" s="3" t="str">
        <f>"انبار مركزي ( عمومي )"</f>
        <v>انبار مركزي ( عمومي )</v>
      </c>
      <c r="D760" s="3" t="str">
        <f>"0211000309"</f>
        <v>0211000309</v>
      </c>
      <c r="E760" s="3" t="str">
        <f>"محافظ برق خانگي (بدون سيم)"</f>
        <v>محافظ برق خانگي (بدون سيم)</v>
      </c>
      <c r="F760" s="3" t="str">
        <f t="shared" si="99"/>
        <v>عدد</v>
      </c>
      <c r="G760" s="3">
        <v>1</v>
      </c>
      <c r="H760" s="5">
        <v>2500000</v>
      </c>
    </row>
    <row r="761" spans="1:8" ht="18.75" x14ac:dyDescent="0.2">
      <c r="A761" s="3" t="str">
        <f t="shared" si="93"/>
        <v>98/11/26</v>
      </c>
      <c r="B761" s="3" t="str">
        <f t="shared" si="94"/>
        <v>كالاهاي مصرفي</v>
      </c>
      <c r="C761" s="3" t="str">
        <f>"انبار مصرفي ZU1"</f>
        <v>انبار مصرفي ZU1</v>
      </c>
      <c r="D761" s="3" t="str">
        <f>"0204001388"</f>
        <v>0204001388</v>
      </c>
      <c r="E761" s="3" t="str">
        <f>"اورينگ HNBR 6*2"</f>
        <v>اورينگ HNBR 6*2</v>
      </c>
      <c r="F761" s="3" t="str">
        <f t="shared" si="99"/>
        <v>عدد</v>
      </c>
      <c r="G761" s="3">
        <v>18</v>
      </c>
      <c r="H761" s="5">
        <v>2502000</v>
      </c>
    </row>
    <row r="762" spans="1:8" ht="18.75" x14ac:dyDescent="0.2">
      <c r="A762" s="3" t="str">
        <f t="shared" si="93"/>
        <v>98/11/26</v>
      </c>
      <c r="B762" s="3" t="str">
        <f t="shared" si="94"/>
        <v>كالاهاي مصرفي</v>
      </c>
      <c r="C762" s="3" t="str">
        <f>"انبار مصرفي ZU1"</f>
        <v>انبار مصرفي ZU1</v>
      </c>
      <c r="D762" s="3" t="str">
        <f>"0213000432"</f>
        <v>0213000432</v>
      </c>
      <c r="E762" s="3" t="str">
        <f>"پيچ گوشواره اي M12*6"</f>
        <v>پيچ گوشواره اي M12*6</v>
      </c>
      <c r="F762" s="3" t="str">
        <f t="shared" si="99"/>
        <v>عدد</v>
      </c>
      <c r="G762" s="3">
        <v>75</v>
      </c>
      <c r="H762" s="5">
        <v>2503215</v>
      </c>
    </row>
    <row r="763" spans="1:8" ht="18.75" x14ac:dyDescent="0.2">
      <c r="A763" s="3" t="str">
        <f t="shared" si="93"/>
        <v>98/11/26</v>
      </c>
      <c r="B763" s="3" t="str">
        <f t="shared" si="94"/>
        <v>كالاهاي مصرفي</v>
      </c>
      <c r="C763" s="3" t="str">
        <f>"انبار مصرفي ZU1"</f>
        <v>انبار مصرفي ZU1</v>
      </c>
      <c r="D763" s="3" t="str">
        <f>"0204000935"</f>
        <v>0204000935</v>
      </c>
      <c r="E763" s="3" t="str">
        <f>"خار چشمي DIN472 M72 داخلي"</f>
        <v>خار چشمي DIN472 M72 داخلي</v>
      </c>
      <c r="F763" s="3" t="str">
        <f t="shared" si="99"/>
        <v>عدد</v>
      </c>
      <c r="G763" s="3">
        <v>40</v>
      </c>
      <c r="H763" s="5">
        <v>2510500</v>
      </c>
    </row>
    <row r="764" spans="1:8" ht="18.75" x14ac:dyDescent="0.2">
      <c r="A764" s="3" t="str">
        <f t="shared" si="93"/>
        <v>98/11/26</v>
      </c>
      <c r="B764" s="3" t="str">
        <f t="shared" si="94"/>
        <v>كالاهاي مصرفي</v>
      </c>
      <c r="C764" s="3" t="str">
        <f>"انبار مصرفي ZU1"</f>
        <v>انبار مصرفي ZU1</v>
      </c>
      <c r="D764" s="3" t="str">
        <f>"0204000743"</f>
        <v>0204000743</v>
      </c>
      <c r="E764" s="3" t="str">
        <f>"واشر اورينگ رزيني 5.3*(1-)72"</f>
        <v>واشر اورينگ رزيني 5.3*(1-)72</v>
      </c>
      <c r="F764" s="3" t="str">
        <f t="shared" si="99"/>
        <v>عدد</v>
      </c>
      <c r="G764" s="3">
        <v>18</v>
      </c>
      <c r="H764" s="5">
        <v>2520000</v>
      </c>
    </row>
    <row r="765" spans="1:8" ht="18.75" x14ac:dyDescent="0.2">
      <c r="A765" s="3" t="str">
        <f t="shared" si="93"/>
        <v>98/11/26</v>
      </c>
      <c r="B765" s="3" t="str">
        <f t="shared" si="94"/>
        <v>كالاهاي مصرفي</v>
      </c>
      <c r="C765" s="3" t="str">
        <f>"انبار مصرفي ZU1"</f>
        <v>انبار مصرفي ZU1</v>
      </c>
      <c r="D765" s="3" t="str">
        <f>"0204001379"</f>
        <v>0204001379</v>
      </c>
      <c r="E765" s="3" t="str">
        <f>"اورينگ HNBR 73*3.8"</f>
        <v>اورينگ HNBR 73*3.8</v>
      </c>
      <c r="F765" s="3" t="str">
        <f t="shared" si="99"/>
        <v>عدد</v>
      </c>
      <c r="G765" s="3">
        <v>18</v>
      </c>
      <c r="H765" s="5">
        <v>2520000</v>
      </c>
    </row>
    <row r="766" spans="1:8" ht="18.75" x14ac:dyDescent="0.2">
      <c r="A766" s="3" t="str">
        <f t="shared" si="93"/>
        <v>98/11/26</v>
      </c>
      <c r="B766" s="3" t="str">
        <f t="shared" si="94"/>
        <v>كالاهاي مصرفي</v>
      </c>
      <c r="C766" s="3" t="str">
        <f>"انبار مركزي ( عمومي )"</f>
        <v>انبار مركزي ( عمومي )</v>
      </c>
      <c r="D766" s="3" t="str">
        <f>"0101000025"</f>
        <v>0101000025</v>
      </c>
      <c r="E766" s="3" t="str">
        <f>"برس سيمي دستي معمولي"</f>
        <v>برس سيمي دستي معمولي</v>
      </c>
      <c r="F766" s="3" t="str">
        <f t="shared" si="99"/>
        <v>عدد</v>
      </c>
      <c r="G766" s="3">
        <v>101</v>
      </c>
      <c r="H766" s="5">
        <v>2522286</v>
      </c>
    </row>
    <row r="767" spans="1:8" ht="18.75" x14ac:dyDescent="0.2">
      <c r="A767" s="3" t="str">
        <f t="shared" si="93"/>
        <v>98/11/26</v>
      </c>
      <c r="B767" s="3" t="str">
        <f t="shared" si="94"/>
        <v>كالاهاي مصرفي</v>
      </c>
      <c r="C767" s="3" t="str">
        <f>"انبار مركزي ( عمومي )"</f>
        <v>انبار مركزي ( عمومي )</v>
      </c>
      <c r="D767" s="3" t="str">
        <f>"0906000163"</f>
        <v>0906000163</v>
      </c>
      <c r="E767" s="3" t="str">
        <f>"كيف لپ تاپ"</f>
        <v>كيف لپ تاپ</v>
      </c>
      <c r="F767" s="3" t="str">
        <f t="shared" si="99"/>
        <v>عدد</v>
      </c>
      <c r="G767" s="3">
        <v>2</v>
      </c>
      <c r="H767" s="5">
        <v>2530000</v>
      </c>
    </row>
    <row r="768" spans="1:8" ht="18.75" x14ac:dyDescent="0.2">
      <c r="A768" s="3" t="str">
        <f t="shared" si="93"/>
        <v>98/11/26</v>
      </c>
      <c r="B768" s="3" t="str">
        <f t="shared" si="94"/>
        <v>كالاهاي مصرفي</v>
      </c>
      <c r="C768" s="3" t="str">
        <f>"انبار مصرفي ZU1"</f>
        <v>انبار مصرفي ZU1</v>
      </c>
      <c r="D768" s="3" t="str">
        <f>"0213000933"</f>
        <v>0213000933</v>
      </c>
      <c r="E768" s="3" t="str">
        <f>"پيچ M20*135"</f>
        <v>پيچ M20*135</v>
      </c>
      <c r="F768" s="3" t="str">
        <f t="shared" si="99"/>
        <v>عدد</v>
      </c>
      <c r="G768" s="3">
        <v>42</v>
      </c>
      <c r="H768" s="5">
        <v>2540160</v>
      </c>
    </row>
    <row r="769" spans="1:8" ht="18.75" x14ac:dyDescent="0.2">
      <c r="A769" s="3" t="str">
        <f t="shared" si="93"/>
        <v>98/11/26</v>
      </c>
      <c r="B769" s="3" t="str">
        <f t="shared" si="94"/>
        <v>كالاهاي مصرفي</v>
      </c>
      <c r="C769" s="3" t="str">
        <f>"انبار مصرفي ZU1"</f>
        <v>انبار مصرفي ZU1</v>
      </c>
      <c r="D769" s="3" t="str">
        <f>"0204000937"</f>
        <v>0204000937</v>
      </c>
      <c r="E769" s="3" t="str">
        <f>"خار چشمي DIN472 M75 داخلي"</f>
        <v>خار چشمي DIN472 M75 داخلي</v>
      </c>
      <c r="F769" s="3" t="str">
        <f t="shared" si="99"/>
        <v>عدد</v>
      </c>
      <c r="G769" s="3">
        <v>40</v>
      </c>
      <c r="H769" s="5">
        <v>2540200</v>
      </c>
    </row>
    <row r="770" spans="1:8" ht="18.75" x14ac:dyDescent="0.2">
      <c r="A770" s="3" t="str">
        <f t="shared" ref="A770:A833" si="100">"98/11/26"</f>
        <v>98/11/26</v>
      </c>
      <c r="B770" s="3" t="str">
        <f t="shared" ref="B770:B833" si="101">"كالاهاي مصرفي"</f>
        <v>كالاهاي مصرفي</v>
      </c>
      <c r="C770" s="3" t="str">
        <f>"انبار مصرفي ZU1"</f>
        <v>انبار مصرفي ZU1</v>
      </c>
      <c r="D770" s="3" t="str">
        <f>"0213000172"</f>
        <v>0213000172</v>
      </c>
      <c r="E770" s="3" t="str">
        <f>"واشر تخت M36"</f>
        <v>واشر تخت M36</v>
      </c>
      <c r="F770" s="3" t="str">
        <f t="shared" si="99"/>
        <v>عدد</v>
      </c>
      <c r="G770" s="3">
        <v>446</v>
      </c>
      <c r="H770" s="5">
        <v>2542200</v>
      </c>
    </row>
    <row r="771" spans="1:8" ht="18.75" x14ac:dyDescent="0.2">
      <c r="A771" s="3" t="str">
        <f t="shared" si="100"/>
        <v>98/11/26</v>
      </c>
      <c r="B771" s="3" t="str">
        <f t="shared" si="101"/>
        <v>كالاهاي مصرفي</v>
      </c>
      <c r="C771" s="3" t="str">
        <f>"انبار مركزي ( عمومي )"</f>
        <v>انبار مركزي ( عمومي )</v>
      </c>
      <c r="D771" s="3" t="str">
        <f>"0203000085"</f>
        <v>0203000085</v>
      </c>
      <c r="E771" s="3" t="str">
        <f>"آچار دو سر تخت 20  *  22"</f>
        <v>آچار دو سر تخت 20  *  22</v>
      </c>
      <c r="F771" s="3" t="str">
        <f t="shared" si="99"/>
        <v>عدد</v>
      </c>
      <c r="G771" s="3">
        <v>1</v>
      </c>
      <c r="H771" s="5">
        <v>2550000</v>
      </c>
    </row>
    <row r="772" spans="1:8" ht="18.75" x14ac:dyDescent="0.2">
      <c r="A772" s="3" t="str">
        <f t="shared" si="100"/>
        <v>98/11/26</v>
      </c>
      <c r="B772" s="3" t="str">
        <f t="shared" si="101"/>
        <v>كالاهاي مصرفي</v>
      </c>
      <c r="C772" s="3" t="str">
        <f>"انبار مصرفي ZU1"</f>
        <v>انبار مصرفي ZU1</v>
      </c>
      <c r="D772" s="3" t="str">
        <f>"0204000378"</f>
        <v>0204000378</v>
      </c>
      <c r="E772" s="3" t="str">
        <f>"بيرينگ NU307-EC"</f>
        <v>بيرينگ NU307-EC</v>
      </c>
      <c r="F772" s="3" t="str">
        <f t="shared" si="99"/>
        <v>عدد</v>
      </c>
      <c r="G772" s="3">
        <v>3</v>
      </c>
      <c r="H772" s="5">
        <v>2550000</v>
      </c>
    </row>
    <row r="773" spans="1:8" ht="18.75" x14ac:dyDescent="0.2">
      <c r="A773" s="3" t="str">
        <f t="shared" si="100"/>
        <v>98/11/26</v>
      </c>
      <c r="B773" s="3" t="str">
        <f t="shared" si="101"/>
        <v>كالاهاي مصرفي</v>
      </c>
      <c r="C773" s="3" t="str">
        <f>"انبار مصرفي ZU1"</f>
        <v>انبار مصرفي ZU1</v>
      </c>
      <c r="D773" s="3" t="str">
        <f>"0204000729"</f>
        <v>0204000729</v>
      </c>
      <c r="E773" s="3" t="str">
        <f>"كاسه نمد Mild Steel 28*50*10 AIB"</f>
        <v>كاسه نمد Mild Steel 28*50*10 AIB</v>
      </c>
      <c r="F773" s="3" t="str">
        <f t="shared" si="99"/>
        <v>عدد</v>
      </c>
      <c r="G773" s="3">
        <v>10</v>
      </c>
      <c r="H773" s="5">
        <v>2550000</v>
      </c>
    </row>
    <row r="774" spans="1:8" ht="18.75" x14ac:dyDescent="0.2">
      <c r="A774" s="3" t="str">
        <f t="shared" si="100"/>
        <v>98/11/26</v>
      </c>
      <c r="B774" s="3" t="str">
        <f t="shared" si="101"/>
        <v>كالاهاي مصرفي</v>
      </c>
      <c r="C774" s="3" t="str">
        <f>"انبار مصرفي ZU1"</f>
        <v>انبار مصرفي ZU1</v>
      </c>
      <c r="D774" s="3" t="str">
        <f>"0204002068"</f>
        <v>0204002068</v>
      </c>
      <c r="E774" s="3" t="str">
        <f>"قفل كن بيرينگ H 208"</f>
        <v>قفل كن بيرينگ H 208</v>
      </c>
      <c r="F774" s="3" t="str">
        <f t="shared" si="99"/>
        <v>عدد</v>
      </c>
      <c r="G774" s="3">
        <v>10</v>
      </c>
      <c r="H774" s="5">
        <v>2550000</v>
      </c>
    </row>
    <row r="775" spans="1:8" ht="18.75" x14ac:dyDescent="0.2">
      <c r="A775" s="3" t="str">
        <f t="shared" si="100"/>
        <v>98/11/26</v>
      </c>
      <c r="B775" s="3" t="str">
        <f t="shared" si="101"/>
        <v>كالاهاي مصرفي</v>
      </c>
      <c r="C775" s="3" t="str">
        <f>"انبار مركزي ( عمومي )"</f>
        <v>انبار مركزي ( عمومي )</v>
      </c>
      <c r="D775" s="3" t="str">
        <f>"0211002157"</f>
        <v>0211002157</v>
      </c>
      <c r="E775" s="3" t="str">
        <f>"كيسه زباله رولي"</f>
        <v>كيسه زباله رولي</v>
      </c>
      <c r="F775" s="3" t="str">
        <f>"رول"</f>
        <v>رول</v>
      </c>
      <c r="G775" s="3">
        <v>30</v>
      </c>
      <c r="H775" s="5">
        <v>2550000</v>
      </c>
    </row>
    <row r="776" spans="1:8" ht="18.75" x14ac:dyDescent="0.2">
      <c r="A776" s="3" t="str">
        <f t="shared" si="100"/>
        <v>98/11/26</v>
      </c>
      <c r="B776" s="3" t="str">
        <f t="shared" si="101"/>
        <v>كالاهاي مصرفي</v>
      </c>
      <c r="C776" s="3" t="str">
        <f>"انبار مصرفي ZU1"</f>
        <v>انبار مصرفي ZU1</v>
      </c>
      <c r="D776" s="3" t="str">
        <f>"0211002352"</f>
        <v>0211002352</v>
      </c>
      <c r="E776" s="3" t="str">
        <f>"رولبرينگ NK30 /20 TN"</f>
        <v>رولبرينگ NK30 /20 TN</v>
      </c>
      <c r="F776" s="3" t="str">
        <f>"عدد"</f>
        <v>عدد</v>
      </c>
      <c r="G776" s="3">
        <v>3</v>
      </c>
      <c r="H776" s="5">
        <v>2550000</v>
      </c>
    </row>
    <row r="777" spans="1:8" ht="18.75" x14ac:dyDescent="0.2">
      <c r="A777" s="3" t="str">
        <f t="shared" si="100"/>
        <v>98/11/26</v>
      </c>
      <c r="B777" s="3" t="str">
        <f t="shared" si="101"/>
        <v>كالاهاي مصرفي</v>
      </c>
      <c r="C777" s="3" t="str">
        <f>"انبار مصرفي ZU1"</f>
        <v>انبار مصرفي ZU1</v>
      </c>
      <c r="D777" s="3" t="str">
        <f>"0213001029"</f>
        <v>0213001029</v>
      </c>
      <c r="E777" s="3" t="str">
        <f>"پوساب برچسب دار P120"</f>
        <v>پوساب برچسب دار P120</v>
      </c>
      <c r="F777" s="3" t="str">
        <f>"برگ"</f>
        <v>برگ</v>
      </c>
      <c r="G777" s="3">
        <v>30</v>
      </c>
      <c r="H777" s="5">
        <v>2550000</v>
      </c>
    </row>
    <row r="778" spans="1:8" ht="18.75" x14ac:dyDescent="0.2">
      <c r="A778" s="3" t="str">
        <f t="shared" si="100"/>
        <v>98/11/26</v>
      </c>
      <c r="B778" s="3" t="str">
        <f t="shared" si="101"/>
        <v>كالاهاي مصرفي</v>
      </c>
      <c r="C778" s="3" t="str">
        <f>"انبار مركزي ( عمومي )"</f>
        <v>انبار مركزي ( عمومي )</v>
      </c>
      <c r="D778" s="3" t="str">
        <f>"0211000993"</f>
        <v>0211000993</v>
      </c>
      <c r="E778" s="3" t="str">
        <f>"ميخ منگنه بادي"</f>
        <v>ميخ منگنه بادي</v>
      </c>
      <c r="F778" s="3" t="str">
        <f>"بسته"</f>
        <v>بسته</v>
      </c>
      <c r="G778" s="3">
        <v>20</v>
      </c>
      <c r="H778" s="5">
        <v>2560000</v>
      </c>
    </row>
    <row r="779" spans="1:8" ht="18.75" x14ac:dyDescent="0.2">
      <c r="A779" s="3" t="str">
        <f t="shared" si="100"/>
        <v>98/11/26</v>
      </c>
      <c r="B779" s="3" t="str">
        <f t="shared" si="101"/>
        <v>كالاهاي مصرفي</v>
      </c>
      <c r="C779" s="3" t="str">
        <f>"انبار مصرفي ZU1"</f>
        <v>انبار مصرفي ZU1</v>
      </c>
      <c r="D779" s="3" t="str">
        <f>"0204001678"</f>
        <v>0204001678</v>
      </c>
      <c r="E779" s="3" t="str">
        <f>"اورينگ HNBR70*5.8"</f>
        <v>اورينگ HNBR70*5.8</v>
      </c>
      <c r="F779" s="3" t="str">
        <f>"عدد"</f>
        <v>عدد</v>
      </c>
      <c r="G779" s="3">
        <v>9</v>
      </c>
      <c r="H779" s="5">
        <v>2574000</v>
      </c>
    </row>
    <row r="780" spans="1:8" ht="18.75" x14ac:dyDescent="0.2">
      <c r="A780" s="3" t="str">
        <f t="shared" si="100"/>
        <v>98/11/26</v>
      </c>
      <c r="B780" s="3" t="str">
        <f t="shared" si="101"/>
        <v>كالاهاي مصرفي</v>
      </c>
      <c r="C780" s="3" t="str">
        <f>"انبار مصرفي ZU1"</f>
        <v>انبار مصرفي ZU1</v>
      </c>
      <c r="D780" s="3" t="str">
        <f>"0204000939"</f>
        <v>0204000939</v>
      </c>
      <c r="E780" s="3" t="str">
        <f>"خار چشمي DIN472 M80 داخلي"</f>
        <v>خار چشمي DIN472 M80 داخلي</v>
      </c>
      <c r="F780" s="3" t="str">
        <f>"عدد"</f>
        <v>عدد</v>
      </c>
      <c r="G780" s="3">
        <v>40</v>
      </c>
      <c r="H780" s="5">
        <v>2578000</v>
      </c>
    </row>
    <row r="781" spans="1:8" ht="18.75" x14ac:dyDescent="0.2">
      <c r="A781" s="3" t="str">
        <f t="shared" si="100"/>
        <v>98/11/26</v>
      </c>
      <c r="B781" s="3" t="str">
        <f t="shared" si="101"/>
        <v>كالاهاي مصرفي</v>
      </c>
      <c r="C781" s="3" t="str">
        <f>"انبار مصرفي ZU1"</f>
        <v>انبار مصرفي ZU1</v>
      </c>
      <c r="D781" s="3" t="str">
        <f>"0304000082"</f>
        <v>0304000082</v>
      </c>
      <c r="E781" s="3" t="str">
        <f>"سلونوئيد والو 3/4 اينچ"</f>
        <v>سلونوئيد والو 3/4 اينچ</v>
      </c>
      <c r="F781" s="3" t="str">
        <f>"عدد"</f>
        <v>عدد</v>
      </c>
      <c r="G781" s="3">
        <v>1</v>
      </c>
      <c r="H781" s="5">
        <v>2580000</v>
      </c>
    </row>
    <row r="782" spans="1:8" ht="18.75" x14ac:dyDescent="0.2">
      <c r="A782" s="3" t="str">
        <f t="shared" si="100"/>
        <v>98/11/26</v>
      </c>
      <c r="B782" s="3" t="str">
        <f t="shared" si="101"/>
        <v>كالاهاي مصرفي</v>
      </c>
      <c r="C782" s="3" t="str">
        <f>"انبار مركزي ( عمومي )"</f>
        <v>انبار مركزي ( عمومي )</v>
      </c>
      <c r="D782" s="3" t="str">
        <f>"0213000626"</f>
        <v>0213000626</v>
      </c>
      <c r="E782" s="3" t="str">
        <f>"مته الماسه معمولي نمره 9"</f>
        <v>مته الماسه معمولي نمره 9</v>
      </c>
      <c r="F782" s="3" t="str">
        <f>"عدد"</f>
        <v>عدد</v>
      </c>
      <c r="G782" s="3">
        <v>23</v>
      </c>
      <c r="H782" s="5">
        <v>2587500</v>
      </c>
    </row>
    <row r="783" spans="1:8" ht="18.75" x14ac:dyDescent="0.2">
      <c r="A783" s="3" t="str">
        <f t="shared" si="100"/>
        <v>98/11/26</v>
      </c>
      <c r="B783" s="3" t="str">
        <f t="shared" si="101"/>
        <v>كالاهاي مصرفي</v>
      </c>
      <c r="C783" s="3" t="str">
        <f>"انبار مصرفي ZU1"</f>
        <v>انبار مصرفي ZU1</v>
      </c>
      <c r="D783" s="3" t="str">
        <f>"0106000199"</f>
        <v>0106000199</v>
      </c>
      <c r="E783" s="3" t="str">
        <f>"روغن shell remola 10"</f>
        <v>روغن shell remola 10</v>
      </c>
      <c r="F783" s="3" t="str">
        <f>"ليتر"</f>
        <v>ليتر</v>
      </c>
      <c r="G783" s="3">
        <v>20</v>
      </c>
      <c r="H783" s="5">
        <v>2600000</v>
      </c>
    </row>
    <row r="784" spans="1:8" ht="18.75" x14ac:dyDescent="0.2">
      <c r="A784" s="3" t="str">
        <f t="shared" si="100"/>
        <v>98/11/26</v>
      </c>
      <c r="B784" s="3" t="str">
        <f t="shared" si="101"/>
        <v>كالاهاي مصرفي</v>
      </c>
      <c r="C784" s="3" t="str">
        <f>"انبار مركزي ( عمومي )"</f>
        <v>انبار مركزي ( عمومي )</v>
      </c>
      <c r="D784" s="3" t="str">
        <f>"0211000209"</f>
        <v>0211000209</v>
      </c>
      <c r="E784" s="3" t="str">
        <f>"پريز شبكه توكار"</f>
        <v>پريز شبكه توكار</v>
      </c>
      <c r="F784" s="3" t="str">
        <f>"عدد"</f>
        <v>عدد</v>
      </c>
      <c r="G784" s="3">
        <v>20</v>
      </c>
      <c r="H784" s="5">
        <v>2600000</v>
      </c>
    </row>
    <row r="785" spans="1:8" ht="18.75" x14ac:dyDescent="0.2">
      <c r="A785" s="3" t="str">
        <f t="shared" si="100"/>
        <v>98/11/26</v>
      </c>
      <c r="B785" s="3" t="str">
        <f t="shared" si="101"/>
        <v>كالاهاي مصرفي</v>
      </c>
      <c r="C785" s="3" t="str">
        <f>"انبار مركزي ( عمومي )"</f>
        <v>انبار مركزي ( عمومي )</v>
      </c>
      <c r="D785" s="3" t="str">
        <f>"0211000733"</f>
        <v>0211000733</v>
      </c>
      <c r="E785" s="3" t="str">
        <f>"طناب نايلوني"</f>
        <v>طناب نايلوني</v>
      </c>
      <c r="F785" s="3" t="str">
        <f>"متر"</f>
        <v>متر</v>
      </c>
      <c r="G785" s="3">
        <v>100</v>
      </c>
      <c r="H785" s="5">
        <v>2600000</v>
      </c>
    </row>
    <row r="786" spans="1:8" ht="18.75" x14ac:dyDescent="0.2">
      <c r="A786" s="3" t="str">
        <f t="shared" si="100"/>
        <v>98/11/26</v>
      </c>
      <c r="B786" s="3" t="str">
        <f t="shared" si="101"/>
        <v>كالاهاي مصرفي</v>
      </c>
      <c r="C786" s="3" t="str">
        <f>"انبار مركزي ( عمومي )"</f>
        <v>انبار مركزي ( عمومي )</v>
      </c>
      <c r="D786" s="3" t="str">
        <f>"0211001893"</f>
        <v>0211001893</v>
      </c>
      <c r="E786" s="3" t="str">
        <f>"باطري متوسط سايز C قابل شارژ"</f>
        <v>باطري متوسط سايز C قابل شارژ</v>
      </c>
      <c r="F786" s="3" t="str">
        <f t="shared" ref="F786:F794" si="102">"عدد"</f>
        <v>عدد</v>
      </c>
      <c r="G786" s="3">
        <v>58</v>
      </c>
      <c r="H786" s="5">
        <v>2600000</v>
      </c>
    </row>
    <row r="787" spans="1:8" ht="18.75" x14ac:dyDescent="0.2">
      <c r="A787" s="3" t="str">
        <f t="shared" si="100"/>
        <v>98/11/26</v>
      </c>
      <c r="B787" s="3" t="str">
        <f t="shared" si="101"/>
        <v>كالاهاي مصرفي</v>
      </c>
      <c r="C787" s="3" t="str">
        <f>"انبار مركزي ( عمومي )"</f>
        <v>انبار مركزي ( عمومي )</v>
      </c>
      <c r="D787" s="3" t="str">
        <f>"0211001942"</f>
        <v>0211001942</v>
      </c>
      <c r="E787" s="3" t="str">
        <f>"مفصل کوچک انگشتي مسي سايز 6"</f>
        <v>مفصل کوچک انگشتي مسي سايز 6</v>
      </c>
      <c r="F787" s="3" t="str">
        <f t="shared" si="102"/>
        <v>عدد</v>
      </c>
      <c r="G787" s="3">
        <v>200</v>
      </c>
      <c r="H787" s="5">
        <v>2600000</v>
      </c>
    </row>
    <row r="788" spans="1:8" ht="18.75" x14ac:dyDescent="0.2">
      <c r="A788" s="3" t="str">
        <f t="shared" si="100"/>
        <v>98/11/26</v>
      </c>
      <c r="B788" s="3" t="str">
        <f t="shared" si="101"/>
        <v>كالاهاي مصرفي</v>
      </c>
      <c r="C788" s="3" t="str">
        <f>"انبار مصرفي ZU1"</f>
        <v>انبار مصرفي ZU1</v>
      </c>
      <c r="D788" s="3" t="str">
        <f>"0204001390"</f>
        <v>0204001390</v>
      </c>
      <c r="E788" s="3" t="str">
        <f>"اورينگ HNBR 60*4"</f>
        <v>اورينگ HNBR 60*4</v>
      </c>
      <c r="F788" s="3" t="str">
        <f t="shared" si="102"/>
        <v>عدد</v>
      </c>
      <c r="G788" s="3">
        <v>19</v>
      </c>
      <c r="H788" s="5">
        <v>2641000</v>
      </c>
    </row>
    <row r="789" spans="1:8" ht="18.75" x14ac:dyDescent="0.2">
      <c r="A789" s="3" t="str">
        <f t="shared" si="100"/>
        <v>98/11/26</v>
      </c>
      <c r="B789" s="3" t="str">
        <f t="shared" si="101"/>
        <v>كالاهاي مصرفي</v>
      </c>
      <c r="C789" s="3" t="str">
        <f>"انبار مصرفي ZU1"</f>
        <v>انبار مصرفي ZU1</v>
      </c>
      <c r="D789" s="3" t="str">
        <f>"0213000402"</f>
        <v>0213000402</v>
      </c>
      <c r="E789" s="3" t="str">
        <f>"پيچ يك سر رزوه كربن استيل M16*45"</f>
        <v>پيچ يك سر رزوه كربن استيل M16*45</v>
      </c>
      <c r="F789" s="3" t="str">
        <f t="shared" si="102"/>
        <v>عدد</v>
      </c>
      <c r="G789" s="3">
        <v>155</v>
      </c>
      <c r="H789" s="5">
        <v>2649600</v>
      </c>
    </row>
    <row r="790" spans="1:8" ht="18.75" x14ac:dyDescent="0.2">
      <c r="A790" s="3" t="str">
        <f t="shared" si="100"/>
        <v>98/11/26</v>
      </c>
      <c r="B790" s="3" t="str">
        <f t="shared" si="101"/>
        <v>كالاهاي مصرفي</v>
      </c>
      <c r="C790" s="3" t="str">
        <f>"انبار مصرفي ZU1"</f>
        <v>انبار مصرفي ZU1</v>
      </c>
      <c r="D790" s="3" t="str">
        <f>"0206000525"</f>
        <v>0206000525</v>
      </c>
      <c r="E790" s="3" t="str">
        <f>"تبديل پلي اتيلن 125 *315 -16 اتمسفر - پي 100"</f>
        <v>تبديل پلي اتيلن 125 *315 -16 اتمسفر - پي 100</v>
      </c>
      <c r="F790" s="3" t="str">
        <f t="shared" si="102"/>
        <v>عدد</v>
      </c>
      <c r="G790" s="3">
        <v>1</v>
      </c>
      <c r="H790" s="5">
        <v>2650000</v>
      </c>
    </row>
    <row r="791" spans="1:8" ht="18.75" x14ac:dyDescent="0.2">
      <c r="A791" s="3" t="str">
        <f t="shared" si="100"/>
        <v>98/11/26</v>
      </c>
      <c r="B791" s="3" t="str">
        <f t="shared" si="101"/>
        <v>كالاهاي مصرفي</v>
      </c>
      <c r="C791" s="3" t="str">
        <f>"انبار مصرفي ZU1"</f>
        <v>انبار مصرفي ZU1</v>
      </c>
      <c r="D791" s="3" t="str">
        <f>"0213000718"</f>
        <v>0213000718</v>
      </c>
      <c r="E791" s="3" t="str">
        <f>"كمان اره آهن بر"</f>
        <v>كمان اره آهن بر</v>
      </c>
      <c r="F791" s="3" t="str">
        <f t="shared" si="102"/>
        <v>عدد</v>
      </c>
      <c r="G791" s="3">
        <v>10</v>
      </c>
      <c r="H791" s="5">
        <v>2650000</v>
      </c>
    </row>
    <row r="792" spans="1:8" ht="18.75" x14ac:dyDescent="0.2">
      <c r="A792" s="3" t="str">
        <f t="shared" si="100"/>
        <v>98/11/26</v>
      </c>
      <c r="B792" s="3" t="str">
        <f t="shared" si="101"/>
        <v>كالاهاي مصرفي</v>
      </c>
      <c r="C792" s="3" t="str">
        <f>"انبار مركزي ( عمومي )"</f>
        <v>انبار مركزي ( عمومي )</v>
      </c>
      <c r="D792" s="3" t="str">
        <f>"0203000270"</f>
        <v>0203000270</v>
      </c>
      <c r="E792" s="3" t="str">
        <f>"آچار يكسر رينگ و يكسر تخت 11"</f>
        <v>آچار يكسر رينگ و يكسر تخت 11</v>
      </c>
      <c r="F792" s="3" t="str">
        <f t="shared" si="102"/>
        <v>عدد</v>
      </c>
      <c r="G792" s="3">
        <v>20</v>
      </c>
      <c r="H792" s="5">
        <v>2657143</v>
      </c>
    </row>
    <row r="793" spans="1:8" ht="18.75" x14ac:dyDescent="0.2">
      <c r="A793" s="3" t="str">
        <f t="shared" si="100"/>
        <v>98/11/26</v>
      </c>
      <c r="B793" s="3" t="str">
        <f t="shared" si="101"/>
        <v>كالاهاي مصرفي</v>
      </c>
      <c r="C793" s="3" t="str">
        <f t="shared" ref="C793:C803" si="103">"انبار مصرفي ZU1"</f>
        <v>انبار مصرفي ZU1</v>
      </c>
      <c r="D793" s="3" t="str">
        <f>"0213000270"</f>
        <v>0213000270</v>
      </c>
      <c r="E793" s="3" t="str">
        <f>"خار چشمي DIN472 M90 داخلي"</f>
        <v>خار چشمي DIN472 M90 داخلي</v>
      </c>
      <c r="F793" s="3" t="str">
        <f t="shared" si="102"/>
        <v>عدد</v>
      </c>
      <c r="G793" s="3">
        <v>40</v>
      </c>
      <c r="H793" s="5">
        <v>2672500</v>
      </c>
    </row>
    <row r="794" spans="1:8" ht="18.75" x14ac:dyDescent="0.2">
      <c r="A794" s="3" t="str">
        <f t="shared" si="100"/>
        <v>98/11/26</v>
      </c>
      <c r="B794" s="3" t="str">
        <f t="shared" si="101"/>
        <v>كالاهاي مصرفي</v>
      </c>
      <c r="C794" s="3" t="str">
        <f t="shared" si="103"/>
        <v>انبار مصرفي ZU1</v>
      </c>
      <c r="D794" s="3" t="str">
        <f>"0105000120"</f>
        <v>0105000120</v>
      </c>
      <c r="E794" s="3" t="str">
        <f>"چسب قطره اي و پرايمر"</f>
        <v>چسب قطره اي و پرايمر</v>
      </c>
      <c r="F794" s="3" t="str">
        <f t="shared" si="102"/>
        <v>عدد</v>
      </c>
      <c r="G794" s="3">
        <v>9</v>
      </c>
      <c r="H794" s="5">
        <v>2700000</v>
      </c>
    </row>
    <row r="795" spans="1:8" ht="18.75" x14ac:dyDescent="0.2">
      <c r="A795" s="3" t="str">
        <f t="shared" si="100"/>
        <v>98/11/26</v>
      </c>
      <c r="B795" s="3" t="str">
        <f t="shared" si="101"/>
        <v>كالاهاي مصرفي</v>
      </c>
      <c r="C795" s="3" t="str">
        <f t="shared" si="103"/>
        <v>انبار مصرفي ZU1</v>
      </c>
      <c r="D795" s="3" t="str">
        <f>"0106000139"</f>
        <v>0106000139</v>
      </c>
      <c r="E795" s="3" t="str">
        <f>"روغن 20 ليتري shell tellus 68"</f>
        <v>روغن 20 ليتري shell tellus 68</v>
      </c>
      <c r="F795" s="3" t="str">
        <f>"گالن"</f>
        <v>گالن</v>
      </c>
      <c r="G795" s="3">
        <v>1</v>
      </c>
      <c r="H795" s="5">
        <v>2700000</v>
      </c>
    </row>
    <row r="796" spans="1:8" ht="18.75" x14ac:dyDescent="0.2">
      <c r="A796" s="3" t="str">
        <f t="shared" si="100"/>
        <v>98/11/26</v>
      </c>
      <c r="B796" s="3" t="str">
        <f t="shared" si="101"/>
        <v>كالاهاي مصرفي</v>
      </c>
      <c r="C796" s="3" t="str">
        <f t="shared" si="103"/>
        <v>انبار مصرفي ZU1</v>
      </c>
      <c r="D796" s="3" t="str">
        <f>"0202000204"</f>
        <v>0202000204</v>
      </c>
      <c r="E796" s="3" t="str">
        <f>"چراغ شارژي اضطراري  مدل -NE100-60 LED"</f>
        <v>چراغ شارژي اضطراري  مدل -NE100-60 LED</v>
      </c>
      <c r="F796" s="3" t="str">
        <f t="shared" ref="F796:F808" si="104">"عدد"</f>
        <v>عدد</v>
      </c>
      <c r="G796" s="3">
        <v>3</v>
      </c>
      <c r="H796" s="5">
        <v>2700000</v>
      </c>
    </row>
    <row r="797" spans="1:8" ht="18.75" x14ac:dyDescent="0.2">
      <c r="A797" s="3" t="str">
        <f t="shared" si="100"/>
        <v>98/11/26</v>
      </c>
      <c r="B797" s="3" t="str">
        <f t="shared" si="101"/>
        <v>كالاهاي مصرفي</v>
      </c>
      <c r="C797" s="3" t="str">
        <f t="shared" si="103"/>
        <v>انبار مصرفي ZU1</v>
      </c>
      <c r="D797" s="3" t="str">
        <f>"0204000234"</f>
        <v>0204000234</v>
      </c>
      <c r="E797" s="3" t="str">
        <f>"واشر اورينگ  6.5*1000 5MM NBR"</f>
        <v>واشر اورينگ  6.5*1000 5MM NBR</v>
      </c>
      <c r="F797" s="3" t="str">
        <f t="shared" si="104"/>
        <v>عدد</v>
      </c>
      <c r="G797" s="3">
        <v>15</v>
      </c>
      <c r="H797" s="5">
        <v>2700000</v>
      </c>
    </row>
    <row r="798" spans="1:8" ht="18.75" x14ac:dyDescent="0.2">
      <c r="A798" s="3" t="str">
        <f t="shared" si="100"/>
        <v>98/11/26</v>
      </c>
      <c r="B798" s="3" t="str">
        <f t="shared" si="101"/>
        <v>كالاهاي مصرفي</v>
      </c>
      <c r="C798" s="3" t="str">
        <f t="shared" si="103"/>
        <v>انبار مصرفي ZU1</v>
      </c>
      <c r="D798" s="3" t="str">
        <f>"0204000515"</f>
        <v>0204000515</v>
      </c>
      <c r="E798" s="3" t="str">
        <f>"بيرينگ 2Z/C3-6010"</f>
        <v>بيرينگ 2Z/C3-6010</v>
      </c>
      <c r="F798" s="3" t="str">
        <f t="shared" si="104"/>
        <v>عدد</v>
      </c>
      <c r="G798" s="3">
        <v>6</v>
      </c>
      <c r="H798" s="5">
        <v>2700000</v>
      </c>
    </row>
    <row r="799" spans="1:8" ht="18.75" x14ac:dyDescent="0.2">
      <c r="A799" s="3" t="str">
        <f t="shared" si="100"/>
        <v>98/11/26</v>
      </c>
      <c r="B799" s="3" t="str">
        <f t="shared" si="101"/>
        <v>كالاهاي مصرفي</v>
      </c>
      <c r="C799" s="3" t="str">
        <f t="shared" si="103"/>
        <v>انبار مصرفي ZU1</v>
      </c>
      <c r="D799" s="3" t="str">
        <f>"0204000398"</f>
        <v>0204000398</v>
      </c>
      <c r="E799" s="3" t="str">
        <f>"بيرينگ 3308"</f>
        <v>بيرينگ 3308</v>
      </c>
      <c r="F799" s="3" t="str">
        <f t="shared" si="104"/>
        <v>عدد</v>
      </c>
      <c r="G799" s="3">
        <v>2</v>
      </c>
      <c r="H799" s="5">
        <v>2720000</v>
      </c>
    </row>
    <row r="800" spans="1:8" ht="18.75" x14ac:dyDescent="0.2">
      <c r="A800" s="3" t="str">
        <f t="shared" si="100"/>
        <v>98/11/26</v>
      </c>
      <c r="B800" s="3" t="str">
        <f t="shared" si="101"/>
        <v>كالاهاي مصرفي</v>
      </c>
      <c r="C800" s="3" t="str">
        <f t="shared" si="103"/>
        <v>انبار مصرفي ZU1</v>
      </c>
      <c r="D800" s="3" t="str">
        <f>"0213000716"</f>
        <v>0213000716</v>
      </c>
      <c r="E800" s="3" t="str">
        <f>"خار جمع كن"</f>
        <v>خار جمع كن</v>
      </c>
      <c r="F800" s="3" t="str">
        <f t="shared" si="104"/>
        <v>عدد</v>
      </c>
      <c r="G800" s="3">
        <v>10</v>
      </c>
      <c r="H800" s="5">
        <v>2721212</v>
      </c>
    </row>
    <row r="801" spans="1:8" ht="18.75" x14ac:dyDescent="0.2">
      <c r="A801" s="3" t="str">
        <f t="shared" si="100"/>
        <v>98/11/26</v>
      </c>
      <c r="B801" s="3" t="str">
        <f t="shared" si="101"/>
        <v>كالاهاي مصرفي</v>
      </c>
      <c r="C801" s="3" t="str">
        <f t="shared" si="103"/>
        <v>انبار مصرفي ZU1</v>
      </c>
      <c r="D801" s="3" t="str">
        <f>"0204001679"</f>
        <v>0204001679</v>
      </c>
      <c r="E801" s="3" t="str">
        <f>"اورينگ HNBR 80*5.8"</f>
        <v>اورينگ HNBR 80*5.8</v>
      </c>
      <c r="F801" s="3" t="str">
        <f t="shared" si="104"/>
        <v>عدد</v>
      </c>
      <c r="G801" s="3">
        <v>9</v>
      </c>
      <c r="H801" s="5">
        <v>2754000</v>
      </c>
    </row>
    <row r="802" spans="1:8" ht="18.75" x14ac:dyDescent="0.2">
      <c r="A802" s="3" t="str">
        <f t="shared" si="100"/>
        <v>98/11/26</v>
      </c>
      <c r="B802" s="3" t="str">
        <f t="shared" si="101"/>
        <v>كالاهاي مصرفي</v>
      </c>
      <c r="C802" s="3" t="str">
        <f t="shared" si="103"/>
        <v>انبار مصرفي ZU1</v>
      </c>
      <c r="D802" s="3" t="str">
        <f>"0204001671"</f>
        <v>0204001671</v>
      </c>
      <c r="E802" s="3" t="str">
        <f>"اورينگ HNBR 35*2"</f>
        <v>اورينگ HNBR 35*2</v>
      </c>
      <c r="F802" s="3" t="str">
        <f t="shared" si="104"/>
        <v>عدد</v>
      </c>
      <c r="G802" s="3">
        <v>18</v>
      </c>
      <c r="H802" s="5">
        <v>2767500</v>
      </c>
    </row>
    <row r="803" spans="1:8" ht="18.75" x14ac:dyDescent="0.2">
      <c r="A803" s="3" t="str">
        <f t="shared" si="100"/>
        <v>98/11/26</v>
      </c>
      <c r="B803" s="3" t="str">
        <f t="shared" si="101"/>
        <v>كالاهاي مصرفي</v>
      </c>
      <c r="C803" s="3" t="str">
        <f t="shared" si="103"/>
        <v>انبار مصرفي ZU1</v>
      </c>
      <c r="D803" s="3" t="str">
        <f>"0204001327"</f>
        <v>0204001327</v>
      </c>
      <c r="E803" s="3" t="str">
        <f>"اورينگ HNBR 255*5.3"</f>
        <v>اورينگ HNBR 255*5.3</v>
      </c>
      <c r="F803" s="3" t="str">
        <f t="shared" si="104"/>
        <v>عدد</v>
      </c>
      <c r="G803" s="3">
        <v>6</v>
      </c>
      <c r="H803" s="5">
        <v>2772000</v>
      </c>
    </row>
    <row r="804" spans="1:8" ht="18.75" x14ac:dyDescent="0.2">
      <c r="A804" s="3" t="str">
        <f t="shared" si="100"/>
        <v>98/11/26</v>
      </c>
      <c r="B804" s="3" t="str">
        <f t="shared" si="101"/>
        <v>كالاهاي مصرفي</v>
      </c>
      <c r="C804" s="3" t="str">
        <f>"انبار مركزي ( عمومي )"</f>
        <v>انبار مركزي ( عمومي )</v>
      </c>
      <c r="D804" s="3" t="str">
        <f>"0203000269"</f>
        <v>0203000269</v>
      </c>
      <c r="E804" s="3" t="str">
        <f>"آچار يكسر رينگ و يكسر تخت 9"</f>
        <v>آچار يكسر رينگ و يكسر تخت 9</v>
      </c>
      <c r="F804" s="3" t="str">
        <f t="shared" si="104"/>
        <v>عدد</v>
      </c>
      <c r="G804" s="3">
        <v>21</v>
      </c>
      <c r="H804" s="5">
        <v>2775000</v>
      </c>
    </row>
    <row r="805" spans="1:8" ht="18.75" x14ac:dyDescent="0.2">
      <c r="A805" s="3" t="str">
        <f t="shared" si="100"/>
        <v>98/11/26</v>
      </c>
      <c r="B805" s="3" t="str">
        <f t="shared" si="101"/>
        <v>كالاهاي مصرفي</v>
      </c>
      <c r="C805" s="3" t="str">
        <f>"انبار مصرفي ZU1"</f>
        <v>انبار مصرفي ZU1</v>
      </c>
      <c r="D805" s="3" t="str">
        <f>"0204000941"</f>
        <v>0204000941</v>
      </c>
      <c r="E805" s="3" t="str">
        <f>"خار چشمي DIN472 M82 داخلي"</f>
        <v>خار چشمي DIN472 M82 داخلي</v>
      </c>
      <c r="F805" s="3" t="str">
        <f t="shared" si="104"/>
        <v>عدد</v>
      </c>
      <c r="G805" s="3">
        <v>40</v>
      </c>
      <c r="H805" s="5">
        <v>2791500</v>
      </c>
    </row>
    <row r="806" spans="1:8" ht="18.75" x14ac:dyDescent="0.2">
      <c r="A806" s="3" t="str">
        <f t="shared" si="100"/>
        <v>98/11/26</v>
      </c>
      <c r="B806" s="3" t="str">
        <f t="shared" si="101"/>
        <v>كالاهاي مصرفي</v>
      </c>
      <c r="C806" s="3" t="str">
        <f>"انبار مصرفي ZU1"</f>
        <v>انبار مصرفي ZU1</v>
      </c>
      <c r="D806" s="3" t="str">
        <f>"0204000671"</f>
        <v>0204000671</v>
      </c>
      <c r="E806" s="3" t="str">
        <f>"واشر اورينگ رزيني NBR 65( -1) X 5.8"</f>
        <v>واشر اورينگ رزيني NBR 65( -1) X 5.8</v>
      </c>
      <c r="F806" s="3" t="str">
        <f t="shared" si="104"/>
        <v>عدد</v>
      </c>
      <c r="G806" s="3">
        <v>20</v>
      </c>
      <c r="H806" s="5">
        <v>2800000</v>
      </c>
    </row>
    <row r="807" spans="1:8" ht="18.75" x14ac:dyDescent="0.2">
      <c r="A807" s="3" t="str">
        <f t="shared" si="100"/>
        <v>98/11/26</v>
      </c>
      <c r="B807" s="3" t="str">
        <f t="shared" si="101"/>
        <v>كالاهاي مصرفي</v>
      </c>
      <c r="C807" s="3" t="str">
        <f>"انبار مصرفي ZU1"</f>
        <v>انبار مصرفي ZU1</v>
      </c>
      <c r="D807" s="3" t="str">
        <f>"0204000706"</f>
        <v>0204000706</v>
      </c>
      <c r="E807" s="3" t="str">
        <f>"كاسه نمد Mild Steel 40*52*7 AIB"</f>
        <v>كاسه نمد Mild Steel 40*52*7 AIB</v>
      </c>
      <c r="F807" s="3" t="str">
        <f t="shared" si="104"/>
        <v>عدد</v>
      </c>
      <c r="G807" s="3">
        <v>7</v>
      </c>
      <c r="H807" s="5">
        <v>2800000</v>
      </c>
    </row>
    <row r="808" spans="1:8" ht="18.75" x14ac:dyDescent="0.2">
      <c r="A808" s="3" t="str">
        <f t="shared" si="100"/>
        <v>98/11/26</v>
      </c>
      <c r="B808" s="3" t="str">
        <f t="shared" si="101"/>
        <v>كالاهاي مصرفي</v>
      </c>
      <c r="C808" s="3" t="str">
        <f>"انبار مصرفي ZU1"</f>
        <v>انبار مصرفي ZU1</v>
      </c>
      <c r="D808" s="3" t="str">
        <f>"0204001359"</f>
        <v>0204001359</v>
      </c>
      <c r="E808" s="3" t="str">
        <f>"اورينگ HNBR 180*4.0"</f>
        <v>اورينگ HNBR 180*4.0</v>
      </c>
      <c r="F808" s="3" t="str">
        <f t="shared" si="104"/>
        <v>عدد</v>
      </c>
      <c r="G808" s="3">
        <v>20</v>
      </c>
      <c r="H808" s="5">
        <v>2800000</v>
      </c>
    </row>
    <row r="809" spans="1:8" ht="18.75" x14ac:dyDescent="0.2">
      <c r="A809" s="3" t="str">
        <f t="shared" si="100"/>
        <v>98/11/26</v>
      </c>
      <c r="B809" s="3" t="str">
        <f t="shared" si="101"/>
        <v>كالاهاي مصرفي</v>
      </c>
      <c r="C809" s="3" t="str">
        <f>"انبار مصرفي ZU1"</f>
        <v>انبار مصرفي ZU1</v>
      </c>
      <c r="D809" s="3" t="str">
        <f>"0204001758"</f>
        <v>0204001758</v>
      </c>
      <c r="E809" s="3" t="str">
        <f>"اورينگ وايتون ضخامت 2 ميليمتر"</f>
        <v>اورينگ وايتون ضخامت 2 ميليمتر</v>
      </c>
      <c r="F809" s="3" t="str">
        <f>"متر"</f>
        <v>متر</v>
      </c>
      <c r="G809" s="3">
        <v>20</v>
      </c>
      <c r="H809" s="5">
        <v>2800000</v>
      </c>
    </row>
    <row r="810" spans="1:8" ht="18.75" x14ac:dyDescent="0.2">
      <c r="A810" s="3" t="str">
        <f t="shared" si="100"/>
        <v>98/11/26</v>
      </c>
      <c r="B810" s="3" t="str">
        <f t="shared" si="101"/>
        <v>كالاهاي مصرفي</v>
      </c>
      <c r="C810" s="3" t="str">
        <f>"انبار مركزي ( عمومي )"</f>
        <v>انبار مركزي ( عمومي )</v>
      </c>
      <c r="D810" s="3" t="str">
        <f>"0208000005"</f>
        <v>0208000005</v>
      </c>
      <c r="E810" s="3" t="str">
        <f>"توري فلزي با قطر مش 0/20 ميليمتر"</f>
        <v>توري فلزي با قطر مش 0/20 ميليمتر</v>
      </c>
      <c r="F810" s="3" t="str">
        <f>"متر مربع"</f>
        <v>متر مربع</v>
      </c>
      <c r="G810" s="3">
        <v>4</v>
      </c>
      <c r="H810" s="5">
        <v>2800000</v>
      </c>
    </row>
    <row r="811" spans="1:8" ht="18.75" x14ac:dyDescent="0.2">
      <c r="A811" s="3" t="str">
        <f t="shared" si="100"/>
        <v>98/11/26</v>
      </c>
      <c r="B811" s="3" t="str">
        <f t="shared" si="101"/>
        <v>كالاهاي مصرفي</v>
      </c>
      <c r="C811" s="3" t="str">
        <f>"انبار مركزي ( عمومي )"</f>
        <v>انبار مركزي ( عمومي )</v>
      </c>
      <c r="D811" s="3" t="str">
        <f>"0906000057"</f>
        <v>0906000057</v>
      </c>
      <c r="E811" s="3" t="str">
        <f>"كابل شبكه ( پچ كورد ) ده متري Cat6"</f>
        <v>كابل شبكه ( پچ كورد ) ده متري Cat6</v>
      </c>
      <c r="F811" s="3" t="str">
        <f>"عدد"</f>
        <v>عدد</v>
      </c>
      <c r="G811" s="3">
        <v>4</v>
      </c>
      <c r="H811" s="5">
        <v>2800000</v>
      </c>
    </row>
    <row r="812" spans="1:8" ht="18.75" x14ac:dyDescent="0.2">
      <c r="A812" s="3" t="str">
        <f t="shared" si="100"/>
        <v>98/11/26</v>
      </c>
      <c r="B812" s="3" t="str">
        <f t="shared" si="101"/>
        <v>كالاهاي مصرفي</v>
      </c>
      <c r="C812" s="3" t="str">
        <f>"انبار مركزي ( عمومي )"</f>
        <v>انبار مركزي ( عمومي )</v>
      </c>
      <c r="D812" s="3" t="str">
        <f>"0203000029"</f>
        <v>0203000029</v>
      </c>
      <c r="E812" s="3" t="str">
        <f>"آچار يكسر رينگ و يكسر تخت 13"</f>
        <v>آچار يكسر رينگ و يكسر تخت 13</v>
      </c>
      <c r="F812" s="3" t="str">
        <f>"عدد"</f>
        <v>عدد</v>
      </c>
      <c r="G812" s="3">
        <v>17</v>
      </c>
      <c r="H812" s="5">
        <v>2814628</v>
      </c>
    </row>
    <row r="813" spans="1:8" ht="18.75" x14ac:dyDescent="0.2">
      <c r="A813" s="3" t="str">
        <f t="shared" si="100"/>
        <v>98/11/26</v>
      </c>
      <c r="B813" s="3" t="str">
        <f t="shared" si="101"/>
        <v>كالاهاي مصرفي</v>
      </c>
      <c r="C813" s="3" t="str">
        <f>"انبار مصرفي ZU1"</f>
        <v>انبار مصرفي ZU1</v>
      </c>
      <c r="D813" s="3" t="str">
        <f>"0105000142"</f>
        <v>0105000142</v>
      </c>
      <c r="E813" s="3" t="str">
        <f>"چسب PVC پمادي"</f>
        <v>چسب PVC پمادي</v>
      </c>
      <c r="F813" s="3" t="str">
        <f>"عدد"</f>
        <v>عدد</v>
      </c>
      <c r="G813" s="3">
        <v>47</v>
      </c>
      <c r="H813" s="5">
        <v>2820000</v>
      </c>
    </row>
    <row r="814" spans="1:8" ht="18.75" x14ac:dyDescent="0.2">
      <c r="A814" s="3" t="str">
        <f t="shared" si="100"/>
        <v>98/11/26</v>
      </c>
      <c r="B814" s="3" t="str">
        <f t="shared" si="101"/>
        <v>كالاهاي مصرفي</v>
      </c>
      <c r="C814" s="3" t="str">
        <f>"انبار مصرفي ZU1"</f>
        <v>انبار مصرفي ZU1</v>
      </c>
      <c r="D814" s="3" t="str">
        <f>"0204000943"</f>
        <v>0204000943</v>
      </c>
      <c r="E814" s="3" t="str">
        <f>"خار چشمي DIN472 M85 داخلي"</f>
        <v>خار چشمي DIN472 M85 داخلي</v>
      </c>
      <c r="F814" s="3" t="str">
        <f>"عدد"</f>
        <v>عدد</v>
      </c>
      <c r="G814" s="3">
        <v>40</v>
      </c>
      <c r="H814" s="5">
        <v>2821200</v>
      </c>
    </row>
    <row r="815" spans="1:8" ht="18.75" x14ac:dyDescent="0.2">
      <c r="A815" s="3" t="str">
        <f t="shared" si="100"/>
        <v>98/11/26</v>
      </c>
      <c r="B815" s="3" t="str">
        <f t="shared" si="101"/>
        <v>كالاهاي مصرفي</v>
      </c>
      <c r="C815" s="3" t="str">
        <f>"انبار مصرفي ZU1"</f>
        <v>انبار مصرفي ZU1</v>
      </c>
      <c r="D815" s="3" t="str">
        <f>"0213000717"</f>
        <v>0213000717</v>
      </c>
      <c r="E815" s="3" t="str">
        <f>"خار باز كن"</f>
        <v>خار باز كن</v>
      </c>
      <c r="F815" s="3" t="str">
        <f>"عدد"</f>
        <v>عدد</v>
      </c>
      <c r="G815" s="3">
        <v>8</v>
      </c>
      <c r="H815" s="5">
        <v>2833846</v>
      </c>
    </row>
    <row r="816" spans="1:8" ht="18.75" x14ac:dyDescent="0.2">
      <c r="A816" s="3" t="str">
        <f t="shared" si="100"/>
        <v>98/11/26</v>
      </c>
      <c r="B816" s="3" t="str">
        <f t="shared" si="101"/>
        <v>كالاهاي مصرفي</v>
      </c>
      <c r="C816" s="3" t="str">
        <f>"انبار مركزي ( عمومي )"</f>
        <v>انبار مركزي ( عمومي )</v>
      </c>
      <c r="D816" s="3" t="str">
        <f>"0212000053"</f>
        <v>0212000053</v>
      </c>
      <c r="E816" s="3" t="str">
        <f>"عايق حرارتي شماره 50"</f>
        <v>عايق حرارتي شماره 50</v>
      </c>
      <c r="F816" s="3" t="str">
        <f>"متر"</f>
        <v>متر</v>
      </c>
      <c r="G816" s="3">
        <v>40</v>
      </c>
      <c r="H816" s="5">
        <v>2840000</v>
      </c>
    </row>
    <row r="817" spans="1:8" ht="18.75" x14ac:dyDescent="0.2">
      <c r="A817" s="3" t="str">
        <f t="shared" si="100"/>
        <v>98/11/26</v>
      </c>
      <c r="B817" s="3" t="str">
        <f t="shared" si="101"/>
        <v>كالاهاي مصرفي</v>
      </c>
      <c r="C817" s="3" t="str">
        <f>"انبار مصرفي ZU1"</f>
        <v>انبار مصرفي ZU1</v>
      </c>
      <c r="D817" s="3" t="str">
        <f>"0213000028"</f>
        <v>0213000028</v>
      </c>
      <c r="E817" s="3" t="str">
        <f>"پيچ M16*20"</f>
        <v>پيچ M16*20</v>
      </c>
      <c r="F817" s="3" t="str">
        <f t="shared" ref="F817:F831" si="105">"عدد"</f>
        <v>عدد</v>
      </c>
      <c r="G817" s="3">
        <v>344</v>
      </c>
      <c r="H817" s="5">
        <v>2840835</v>
      </c>
    </row>
    <row r="818" spans="1:8" ht="18.75" x14ac:dyDescent="0.2">
      <c r="A818" s="3" t="str">
        <f t="shared" si="100"/>
        <v>98/11/26</v>
      </c>
      <c r="B818" s="3" t="str">
        <f t="shared" si="101"/>
        <v>كالاهاي مصرفي</v>
      </c>
      <c r="C818" s="3" t="str">
        <f>"انبار مصرفي ZU1"</f>
        <v>انبار مصرفي ZU1</v>
      </c>
      <c r="D818" s="3" t="str">
        <f>"0204001813"</f>
        <v>0204001813</v>
      </c>
      <c r="E818" s="3" t="str">
        <f>"فيبر وفنر دوبل 14mm"</f>
        <v>فيبر وفنر دوبل 14mm</v>
      </c>
      <c r="F818" s="3" t="str">
        <f t="shared" si="105"/>
        <v>عدد</v>
      </c>
      <c r="G818" s="3">
        <v>19</v>
      </c>
      <c r="H818" s="5">
        <v>2850000</v>
      </c>
    </row>
    <row r="819" spans="1:8" ht="18.75" x14ac:dyDescent="0.2">
      <c r="A819" s="3" t="str">
        <f t="shared" si="100"/>
        <v>98/11/26</v>
      </c>
      <c r="B819" s="3" t="str">
        <f t="shared" si="101"/>
        <v>كالاهاي مصرفي</v>
      </c>
      <c r="C819" s="3" t="str">
        <f>"انبار مركزي ( عمومي )"</f>
        <v>انبار مركزي ( عمومي )</v>
      </c>
      <c r="D819" s="3" t="str">
        <f>"0211001565"</f>
        <v>0211001565</v>
      </c>
      <c r="E819" s="3" t="str">
        <f>"پيمانه روغن 5 ليتري"</f>
        <v>پيمانه روغن 5 ليتري</v>
      </c>
      <c r="F819" s="3" t="str">
        <f t="shared" si="105"/>
        <v>عدد</v>
      </c>
      <c r="G819" s="3">
        <v>10</v>
      </c>
      <c r="H819" s="5">
        <v>2850000</v>
      </c>
    </row>
    <row r="820" spans="1:8" ht="18.75" x14ac:dyDescent="0.2">
      <c r="A820" s="3" t="str">
        <f t="shared" si="100"/>
        <v>98/11/26</v>
      </c>
      <c r="B820" s="3" t="str">
        <f t="shared" si="101"/>
        <v>كالاهاي مصرفي</v>
      </c>
      <c r="C820" s="3" t="str">
        <f>"انبار مركزي ( عمومي )"</f>
        <v>انبار مركزي ( عمومي )</v>
      </c>
      <c r="D820" s="3" t="str">
        <f>"0213001113"</f>
        <v>0213001113</v>
      </c>
      <c r="E820" s="3" t="str">
        <f>"پيچ كربن استيل 3/8*2L"</f>
        <v>پيچ كربن استيل 3/8*2L</v>
      </c>
      <c r="F820" s="3" t="str">
        <f t="shared" si="105"/>
        <v>عدد</v>
      </c>
      <c r="G820" s="3">
        <v>19</v>
      </c>
      <c r="H820" s="5">
        <v>2850000</v>
      </c>
    </row>
    <row r="821" spans="1:8" ht="18.75" x14ac:dyDescent="0.2">
      <c r="A821" s="3" t="str">
        <f t="shared" si="100"/>
        <v>98/11/26</v>
      </c>
      <c r="B821" s="3" t="str">
        <f t="shared" si="101"/>
        <v>كالاهاي مصرفي</v>
      </c>
      <c r="C821" s="3" t="str">
        <f>"انبار مركزي ( عمومي )"</f>
        <v>انبار مركزي ( عمومي )</v>
      </c>
      <c r="D821" s="3" t="str">
        <f>"0304000042"</f>
        <v>0304000042</v>
      </c>
      <c r="E821" s="3" t="str">
        <f>"شير يكطرفه 3/4 اينچ"</f>
        <v>شير يكطرفه 3/4 اينچ</v>
      </c>
      <c r="F821" s="3" t="str">
        <f t="shared" si="105"/>
        <v>عدد</v>
      </c>
      <c r="G821" s="3">
        <v>10</v>
      </c>
      <c r="H821" s="5">
        <v>2850000</v>
      </c>
    </row>
    <row r="822" spans="1:8" ht="18.75" x14ac:dyDescent="0.2">
      <c r="A822" s="3" t="str">
        <f t="shared" si="100"/>
        <v>98/11/26</v>
      </c>
      <c r="B822" s="3" t="str">
        <f t="shared" si="101"/>
        <v>كالاهاي مصرفي</v>
      </c>
      <c r="C822" s="3" t="str">
        <f>"انبار مصرفي ZU1"</f>
        <v>انبار مصرفي ZU1</v>
      </c>
      <c r="D822" s="3" t="str">
        <f>"0204001316"</f>
        <v>0204001316</v>
      </c>
      <c r="E822" s="3" t="str">
        <f>"اورينگ HNBR 576*7"</f>
        <v>اورينگ HNBR 576*7</v>
      </c>
      <c r="F822" s="3" t="str">
        <f t="shared" si="105"/>
        <v>عدد</v>
      </c>
      <c r="G822" s="3">
        <v>3</v>
      </c>
      <c r="H822" s="5">
        <v>2853000</v>
      </c>
    </row>
    <row r="823" spans="1:8" ht="18.75" x14ac:dyDescent="0.2">
      <c r="A823" s="3" t="str">
        <f t="shared" si="100"/>
        <v>98/11/26</v>
      </c>
      <c r="B823" s="3" t="str">
        <f t="shared" si="101"/>
        <v>كالاهاي مصرفي</v>
      </c>
      <c r="C823" s="3" t="str">
        <f>"انبار مركزي ( عمومي )"</f>
        <v>انبار مركزي ( عمومي )</v>
      </c>
      <c r="D823" s="3" t="str">
        <f>"0203000001"</f>
        <v>0203000001</v>
      </c>
      <c r="E823" s="3" t="str">
        <f>"آچار لوله گير 12 اينچ"</f>
        <v>آچار لوله گير 12 اينچ</v>
      </c>
      <c r="F823" s="3" t="str">
        <f t="shared" si="105"/>
        <v>عدد</v>
      </c>
      <c r="G823" s="3">
        <v>5</v>
      </c>
      <c r="H823" s="5">
        <v>2858333</v>
      </c>
    </row>
    <row r="824" spans="1:8" ht="18.75" x14ac:dyDescent="0.2">
      <c r="A824" s="3" t="str">
        <f t="shared" si="100"/>
        <v>98/11/26</v>
      </c>
      <c r="B824" s="3" t="str">
        <f t="shared" si="101"/>
        <v>كالاهاي مصرفي</v>
      </c>
      <c r="C824" s="3" t="str">
        <f>"انبار مركزي ( عمومي )"</f>
        <v>انبار مركزي ( عمومي )</v>
      </c>
      <c r="D824" s="3" t="str">
        <f>"0202000186"</f>
        <v>0202000186</v>
      </c>
      <c r="E824" s="3" t="str">
        <f>"كليد استپ و استارت (روكار)"</f>
        <v>كليد استپ و استارت (روكار)</v>
      </c>
      <c r="F824" s="3" t="str">
        <f t="shared" si="105"/>
        <v>عدد</v>
      </c>
      <c r="G824" s="3">
        <v>14</v>
      </c>
      <c r="H824" s="5">
        <v>2870000</v>
      </c>
    </row>
    <row r="825" spans="1:8" ht="18.75" x14ac:dyDescent="0.2">
      <c r="A825" s="3" t="str">
        <f t="shared" si="100"/>
        <v>98/11/26</v>
      </c>
      <c r="B825" s="3" t="str">
        <f t="shared" si="101"/>
        <v>كالاهاي مصرفي</v>
      </c>
      <c r="C825" s="3" t="str">
        <f>"انبار مصرفي ZU1"</f>
        <v>انبار مصرفي ZU1</v>
      </c>
      <c r="D825" s="3" t="str">
        <f>"0204000763"</f>
        <v>0204000763</v>
      </c>
      <c r="E825" s="3" t="str">
        <f>"بيرينگ 6406"</f>
        <v>بيرينگ 6406</v>
      </c>
      <c r="F825" s="3" t="str">
        <f t="shared" si="105"/>
        <v>عدد</v>
      </c>
      <c r="G825" s="3">
        <v>7</v>
      </c>
      <c r="H825" s="5">
        <v>2870000</v>
      </c>
    </row>
    <row r="826" spans="1:8" ht="18.75" x14ac:dyDescent="0.2">
      <c r="A826" s="3" t="str">
        <f t="shared" si="100"/>
        <v>98/11/26</v>
      </c>
      <c r="B826" s="3" t="str">
        <f t="shared" si="101"/>
        <v>كالاهاي مصرفي</v>
      </c>
      <c r="C826" s="3" t="str">
        <f>"انبار مصرفي ZU1"</f>
        <v>انبار مصرفي ZU1</v>
      </c>
      <c r="D826" s="3" t="str">
        <f>"0213000125"</f>
        <v>0213000125</v>
      </c>
      <c r="E826" s="3" t="str">
        <f>"واشر قفلي M18"</f>
        <v>واشر قفلي M18</v>
      </c>
      <c r="F826" s="3" t="str">
        <f t="shared" si="105"/>
        <v>عدد</v>
      </c>
      <c r="G826" s="3">
        <v>460</v>
      </c>
      <c r="H826" s="5">
        <v>2898000</v>
      </c>
    </row>
    <row r="827" spans="1:8" ht="18.75" x14ac:dyDescent="0.2">
      <c r="A827" s="3" t="str">
        <f t="shared" si="100"/>
        <v>98/11/26</v>
      </c>
      <c r="B827" s="3" t="str">
        <f t="shared" si="101"/>
        <v>كالاهاي مصرفي</v>
      </c>
      <c r="C827" s="3" t="str">
        <f>"انبار مصرفي ZU1"</f>
        <v>انبار مصرفي ZU1</v>
      </c>
      <c r="D827" s="3" t="str">
        <f>"0204000649"</f>
        <v>0204000649</v>
      </c>
      <c r="E827" s="3" t="str">
        <f>"كاسه نمد Mild Steel 30*42*7 AIB"</f>
        <v>كاسه نمد Mild Steel 30*42*7 AIB</v>
      </c>
      <c r="F827" s="3" t="str">
        <f t="shared" si="105"/>
        <v>عدد</v>
      </c>
      <c r="G827" s="3">
        <v>10</v>
      </c>
      <c r="H827" s="5">
        <v>2900000</v>
      </c>
    </row>
    <row r="828" spans="1:8" ht="18.75" x14ac:dyDescent="0.2">
      <c r="A828" s="3" t="str">
        <f t="shared" si="100"/>
        <v>98/11/26</v>
      </c>
      <c r="B828" s="3" t="str">
        <f t="shared" si="101"/>
        <v>كالاهاي مصرفي</v>
      </c>
      <c r="C828" s="3" t="str">
        <f>"انبار مصرفي ZU1"</f>
        <v>انبار مصرفي ZU1</v>
      </c>
      <c r="D828" s="3" t="str">
        <f>"0204001085"</f>
        <v>0204001085</v>
      </c>
      <c r="E828" s="3" t="str">
        <f>"کاسه نمد 15*145*180"</f>
        <v>کاسه نمد 15*145*180</v>
      </c>
      <c r="F828" s="3" t="str">
        <f t="shared" si="105"/>
        <v>عدد</v>
      </c>
      <c r="G828" s="3">
        <v>2</v>
      </c>
      <c r="H828" s="5">
        <v>2900000</v>
      </c>
    </row>
    <row r="829" spans="1:8" ht="18.75" x14ac:dyDescent="0.2">
      <c r="A829" s="3" t="str">
        <f t="shared" si="100"/>
        <v>98/11/26</v>
      </c>
      <c r="B829" s="3" t="str">
        <f t="shared" si="101"/>
        <v>كالاهاي مصرفي</v>
      </c>
      <c r="C829" s="3" t="str">
        <f>"انبار مصرفي ZU1"</f>
        <v>انبار مصرفي ZU1</v>
      </c>
      <c r="D829" s="3" t="str">
        <f>"0213000226"</f>
        <v>0213000226</v>
      </c>
      <c r="E829" s="3" t="str">
        <f>"مهره M32"</f>
        <v>مهره M32</v>
      </c>
      <c r="F829" s="3" t="str">
        <f t="shared" si="105"/>
        <v>عدد</v>
      </c>
      <c r="G829" s="3">
        <v>20</v>
      </c>
      <c r="H829" s="5">
        <v>2900000</v>
      </c>
    </row>
    <row r="830" spans="1:8" ht="18.75" x14ac:dyDescent="0.2">
      <c r="A830" s="3" t="str">
        <f t="shared" si="100"/>
        <v>98/11/26</v>
      </c>
      <c r="B830" s="3" t="str">
        <f t="shared" si="101"/>
        <v>كالاهاي مصرفي</v>
      </c>
      <c r="C830" s="3" t="str">
        <f>"انبار مركزي ( عمومي )"</f>
        <v>انبار مركزي ( عمومي )</v>
      </c>
      <c r="D830" s="3" t="str">
        <f>"0307000132"</f>
        <v>0307000132</v>
      </c>
      <c r="E830" s="3" t="str">
        <f>"نردبان دو طرفه"</f>
        <v>نردبان دو طرفه</v>
      </c>
      <c r="F830" s="3" t="str">
        <f t="shared" si="105"/>
        <v>عدد</v>
      </c>
      <c r="G830" s="3">
        <v>1</v>
      </c>
      <c r="H830" s="5">
        <v>2900000</v>
      </c>
    </row>
    <row r="831" spans="1:8" ht="18.75" x14ac:dyDescent="0.2">
      <c r="A831" s="3" t="str">
        <f t="shared" si="100"/>
        <v>98/11/26</v>
      </c>
      <c r="B831" s="3" t="str">
        <f t="shared" si="101"/>
        <v>كالاهاي مصرفي</v>
      </c>
      <c r="C831" s="3" t="str">
        <f>"انبار مصرفي ZU1"</f>
        <v>انبار مصرفي ZU1</v>
      </c>
      <c r="D831" s="3" t="str">
        <f>"0105000080"</f>
        <v>0105000080</v>
      </c>
      <c r="E831" s="3" t="str">
        <f>"چسب اكسون فرانسه 250 گرمي"</f>
        <v>چسب اكسون فرانسه 250 گرمي</v>
      </c>
      <c r="F831" s="3" t="str">
        <f t="shared" si="105"/>
        <v>عدد</v>
      </c>
      <c r="G831" s="3">
        <v>3</v>
      </c>
      <c r="H831" s="5">
        <v>2910000</v>
      </c>
    </row>
    <row r="832" spans="1:8" ht="18.75" x14ac:dyDescent="0.2">
      <c r="A832" s="3" t="str">
        <f t="shared" si="100"/>
        <v>98/11/26</v>
      </c>
      <c r="B832" s="3" t="str">
        <f t="shared" si="101"/>
        <v>كالاهاي مصرفي</v>
      </c>
      <c r="C832" s="3" t="str">
        <f>"انبار مركزي ( عمومي )"</f>
        <v>انبار مركزي ( عمومي )</v>
      </c>
      <c r="D832" s="3" t="str">
        <f>"0211000649"</f>
        <v>0211000649</v>
      </c>
      <c r="E832" s="3" t="str">
        <f>"دستمال حوله اي بسته اي (پارچه زنبوري 2 *1)"</f>
        <v>دستمال حوله اي بسته اي (پارچه زنبوري 2 *1)</v>
      </c>
      <c r="F832" s="3" t="str">
        <f>"بسته"</f>
        <v>بسته</v>
      </c>
      <c r="G832" s="3">
        <v>8</v>
      </c>
      <c r="H832" s="5">
        <v>2920000</v>
      </c>
    </row>
    <row r="833" spans="1:8" ht="18.75" x14ac:dyDescent="0.2">
      <c r="A833" s="3" t="str">
        <f t="shared" si="100"/>
        <v>98/11/26</v>
      </c>
      <c r="B833" s="3" t="str">
        <f t="shared" si="101"/>
        <v>كالاهاي مصرفي</v>
      </c>
      <c r="C833" s="3" t="str">
        <f>"انبار مركزي ( عمومي )"</f>
        <v>انبار مركزي ( عمومي )</v>
      </c>
      <c r="D833" s="3" t="str">
        <f>"0213000788"</f>
        <v>0213000788</v>
      </c>
      <c r="E833" s="3" t="str">
        <f>"ميخ  بادي"</f>
        <v>ميخ  بادي</v>
      </c>
      <c r="F833" s="3" t="str">
        <f>"کيلوگرم"</f>
        <v>کيلوگرم</v>
      </c>
      <c r="G833" s="3">
        <v>9</v>
      </c>
      <c r="H833" s="5">
        <v>2925000</v>
      </c>
    </row>
    <row r="834" spans="1:8" ht="18.75" x14ac:dyDescent="0.2">
      <c r="A834" s="3" t="str">
        <f t="shared" ref="A834:A897" si="106">"98/11/26"</f>
        <v>98/11/26</v>
      </c>
      <c r="B834" s="3" t="str">
        <f t="shared" ref="B834:B897" si="107">"كالاهاي مصرفي"</f>
        <v>كالاهاي مصرفي</v>
      </c>
      <c r="C834" s="3" t="str">
        <f>"انبار مصرفي ZU1"</f>
        <v>انبار مصرفي ZU1</v>
      </c>
      <c r="D834" s="3" t="str">
        <f>"0213000176"</f>
        <v>0213000176</v>
      </c>
      <c r="E834" s="3" t="str">
        <f>"مهره M6"</f>
        <v>مهره M6</v>
      </c>
      <c r="F834" s="3" t="str">
        <f>"عدد"</f>
        <v>عدد</v>
      </c>
      <c r="G834" s="3">
        <v>9093</v>
      </c>
      <c r="H834" s="5">
        <v>2934817</v>
      </c>
    </row>
    <row r="835" spans="1:8" ht="18.75" x14ac:dyDescent="0.2">
      <c r="A835" s="3" t="str">
        <f t="shared" si="106"/>
        <v>98/11/26</v>
      </c>
      <c r="B835" s="3" t="str">
        <f t="shared" si="107"/>
        <v>كالاهاي مصرفي</v>
      </c>
      <c r="C835" s="3" t="str">
        <f>"انبار مصرفي ZU1"</f>
        <v>انبار مصرفي ZU1</v>
      </c>
      <c r="D835" s="3" t="str">
        <f>"0204000510"</f>
        <v>0204000510</v>
      </c>
      <c r="E835" s="3" t="str">
        <f>"بيرينگ 7308"</f>
        <v>بيرينگ 7308</v>
      </c>
      <c r="F835" s="3" t="str">
        <f>"عدد"</f>
        <v>عدد</v>
      </c>
      <c r="G835" s="3">
        <v>4</v>
      </c>
      <c r="H835" s="5">
        <v>2960000</v>
      </c>
    </row>
    <row r="836" spans="1:8" ht="18.75" x14ac:dyDescent="0.2">
      <c r="A836" s="3" t="str">
        <f t="shared" si="106"/>
        <v>98/11/26</v>
      </c>
      <c r="B836" s="3" t="str">
        <f t="shared" si="107"/>
        <v>كالاهاي مصرفي</v>
      </c>
      <c r="C836" s="3" t="str">
        <f>"انبار مركزي ( عمومي )"</f>
        <v>انبار مركزي ( عمومي )</v>
      </c>
      <c r="D836" s="3" t="str">
        <f>"0211001135"</f>
        <v>0211001135</v>
      </c>
      <c r="E836" s="3" t="str">
        <f>"نوار چسب برق"</f>
        <v>نوار چسب برق</v>
      </c>
      <c r="F836" s="3" t="str">
        <f>"حلقه"</f>
        <v>حلقه</v>
      </c>
      <c r="G836" s="3">
        <v>46</v>
      </c>
      <c r="H836" s="5">
        <v>2962676</v>
      </c>
    </row>
    <row r="837" spans="1:8" ht="18.75" x14ac:dyDescent="0.2">
      <c r="A837" s="3" t="str">
        <f t="shared" si="106"/>
        <v>98/11/26</v>
      </c>
      <c r="B837" s="3" t="str">
        <f t="shared" si="107"/>
        <v>كالاهاي مصرفي</v>
      </c>
      <c r="C837" s="3" t="str">
        <f>"انبار مركزي ( عمومي )"</f>
        <v>انبار مركزي ( عمومي )</v>
      </c>
      <c r="D837" s="3" t="str">
        <f>"0202000398"</f>
        <v>0202000398</v>
      </c>
      <c r="E837" s="3" t="str">
        <f>"كليد محافظ جان سه فاز  25A"</f>
        <v>كليد محافظ جان سه فاز  25A</v>
      </c>
      <c r="F837" s="3" t="str">
        <f>"عدد"</f>
        <v>عدد</v>
      </c>
      <c r="G837" s="3">
        <v>5</v>
      </c>
      <c r="H837" s="5">
        <v>3000000</v>
      </c>
    </row>
    <row r="838" spans="1:8" ht="18.75" x14ac:dyDescent="0.2">
      <c r="A838" s="3" t="str">
        <f t="shared" si="106"/>
        <v>98/11/26</v>
      </c>
      <c r="B838" s="3" t="str">
        <f t="shared" si="107"/>
        <v>كالاهاي مصرفي</v>
      </c>
      <c r="C838" s="3" t="str">
        <f>"انبار مركزي ( عمومي )"</f>
        <v>انبار مركزي ( عمومي )</v>
      </c>
      <c r="D838" s="3" t="str">
        <f>"0204000010"</f>
        <v>0204000010</v>
      </c>
      <c r="E838" s="3" t="str">
        <f>"شاسي زنگ توكار"</f>
        <v>شاسي زنگ توكار</v>
      </c>
      <c r="F838" s="3" t="str">
        <f>"عدد"</f>
        <v>عدد</v>
      </c>
      <c r="G838" s="3">
        <v>20</v>
      </c>
      <c r="H838" s="5">
        <v>3000000</v>
      </c>
    </row>
    <row r="839" spans="1:8" ht="18.75" x14ac:dyDescent="0.2">
      <c r="A839" s="3" t="str">
        <f t="shared" si="106"/>
        <v>98/11/26</v>
      </c>
      <c r="B839" s="3" t="str">
        <f t="shared" si="107"/>
        <v>كالاهاي مصرفي</v>
      </c>
      <c r="C839" s="3" t="str">
        <f>"انبار مصرفي ZU1"</f>
        <v>انبار مصرفي ZU1</v>
      </c>
      <c r="D839" s="3" t="str">
        <f>"0204000342"</f>
        <v>0204000342</v>
      </c>
      <c r="E839" s="3" t="str">
        <f>"بيرينگ 2Z-6204"</f>
        <v>بيرينگ 2Z-6204</v>
      </c>
      <c r="F839" s="3" t="str">
        <f>"عدد"</f>
        <v>عدد</v>
      </c>
      <c r="G839" s="3">
        <v>10</v>
      </c>
      <c r="H839" s="5">
        <v>3000000</v>
      </c>
    </row>
    <row r="840" spans="1:8" ht="18.75" x14ac:dyDescent="0.2">
      <c r="A840" s="3" t="str">
        <f t="shared" si="106"/>
        <v>98/11/26</v>
      </c>
      <c r="B840" s="3" t="str">
        <f t="shared" si="107"/>
        <v>كالاهاي مصرفي</v>
      </c>
      <c r="C840" s="3" t="str">
        <f>"انبار مصرفي ZU1"</f>
        <v>انبار مصرفي ZU1</v>
      </c>
      <c r="D840" s="3" t="str">
        <f>"0204001098"</f>
        <v>0204001098</v>
      </c>
      <c r="E840" s="3" t="str">
        <f>"لرزه گير بيرينگ 6307"</f>
        <v>لرزه گير بيرينگ 6307</v>
      </c>
      <c r="F840" s="3" t="str">
        <f>"عدد"</f>
        <v>عدد</v>
      </c>
      <c r="G840" s="3">
        <v>60</v>
      </c>
      <c r="H840" s="5">
        <v>3000000</v>
      </c>
    </row>
    <row r="841" spans="1:8" ht="18.75" x14ac:dyDescent="0.2">
      <c r="A841" s="3" t="str">
        <f t="shared" si="106"/>
        <v>98/11/26</v>
      </c>
      <c r="B841" s="3" t="str">
        <f t="shared" si="107"/>
        <v>كالاهاي مصرفي</v>
      </c>
      <c r="C841" s="3" t="str">
        <f>"انبار مصرفي ZU1"</f>
        <v>انبار مصرفي ZU1</v>
      </c>
      <c r="D841" s="3" t="str">
        <f>"0204001112"</f>
        <v>0204001112</v>
      </c>
      <c r="E841" s="3" t="str">
        <f>"بيرينگ 16016 C2"</f>
        <v>بيرينگ 16016 C2</v>
      </c>
      <c r="F841" s="3" t="str">
        <f>"عدد"</f>
        <v>عدد</v>
      </c>
      <c r="G841" s="3">
        <v>2</v>
      </c>
      <c r="H841" s="5">
        <v>3000000</v>
      </c>
    </row>
    <row r="842" spans="1:8" ht="18.75" x14ac:dyDescent="0.2">
      <c r="A842" s="3" t="str">
        <f t="shared" si="106"/>
        <v>98/11/26</v>
      </c>
      <c r="B842" s="3" t="str">
        <f t="shared" si="107"/>
        <v>كالاهاي مصرفي</v>
      </c>
      <c r="C842" s="3" t="str">
        <f>"انبار مركزي ( عمومي )"</f>
        <v>انبار مركزي ( عمومي )</v>
      </c>
      <c r="D842" s="3" t="str">
        <f>"0206000860"</f>
        <v>0206000860</v>
      </c>
      <c r="E842" s="3" t="str">
        <f>"لوله استنلس استيل  1 اينچ ضخامت 3.5mm"</f>
        <v>لوله استنلس استيل  1 اينچ ضخامت 3.5mm</v>
      </c>
      <c r="F842" s="3" t="str">
        <f>"شاخه"</f>
        <v>شاخه</v>
      </c>
      <c r="G842" s="3">
        <v>1</v>
      </c>
      <c r="H842" s="5">
        <v>3000000</v>
      </c>
    </row>
    <row r="843" spans="1:8" ht="18.75" x14ac:dyDescent="0.2">
      <c r="A843" s="3" t="str">
        <f t="shared" si="106"/>
        <v>98/11/26</v>
      </c>
      <c r="B843" s="3" t="str">
        <f t="shared" si="107"/>
        <v>كالاهاي مصرفي</v>
      </c>
      <c r="C843" s="3" t="str">
        <f>"انبار مصرفي ZU1"</f>
        <v>انبار مصرفي ZU1</v>
      </c>
      <c r="D843" s="3" t="str">
        <f>"0211000051"</f>
        <v>0211000051</v>
      </c>
      <c r="E843" s="3" t="str">
        <f>"سمبه نشان حروف ست كامل تكراري"</f>
        <v>سمبه نشان حروف ست كامل تكراري</v>
      </c>
      <c r="F843" s="3" t="str">
        <f>"ست"</f>
        <v>ست</v>
      </c>
      <c r="G843" s="3">
        <v>10</v>
      </c>
      <c r="H843" s="5">
        <v>3000000</v>
      </c>
    </row>
    <row r="844" spans="1:8" ht="18.75" x14ac:dyDescent="0.2">
      <c r="A844" s="3" t="str">
        <f t="shared" si="106"/>
        <v>98/11/26</v>
      </c>
      <c r="B844" s="3" t="str">
        <f t="shared" si="107"/>
        <v>كالاهاي مصرفي</v>
      </c>
      <c r="C844" s="3" t="str">
        <f>"انبار مركزي ( عمومي )"</f>
        <v>انبار مركزي ( عمومي )</v>
      </c>
      <c r="D844" s="3" t="str">
        <f>"0213000937"</f>
        <v>0213000937</v>
      </c>
      <c r="E844" s="3" t="str">
        <f>"مته الماسه معمولي نمره 24"</f>
        <v>مته الماسه معمولي نمره 24</v>
      </c>
      <c r="F844" s="3" t="str">
        <f t="shared" ref="F844:F855" si="108">"عدد"</f>
        <v>عدد</v>
      </c>
      <c r="G844" s="3">
        <v>5</v>
      </c>
      <c r="H844" s="5">
        <v>3000000</v>
      </c>
    </row>
    <row r="845" spans="1:8" ht="18.75" x14ac:dyDescent="0.2">
      <c r="A845" s="3" t="str">
        <f t="shared" si="106"/>
        <v>98/11/26</v>
      </c>
      <c r="B845" s="3" t="str">
        <f t="shared" si="107"/>
        <v>كالاهاي مصرفي</v>
      </c>
      <c r="C845" s="3" t="str">
        <f>"انبار مصرفي ZU1"</f>
        <v>انبار مصرفي ZU1</v>
      </c>
      <c r="D845" s="3" t="str">
        <f>"0204001677"</f>
        <v>0204001677</v>
      </c>
      <c r="E845" s="3" t="str">
        <f>"اورينگ HNBR 18*2.6"</f>
        <v>اورينگ HNBR 18*2.6</v>
      </c>
      <c r="F845" s="3" t="str">
        <f t="shared" si="108"/>
        <v>عدد</v>
      </c>
      <c r="G845" s="3">
        <v>20</v>
      </c>
      <c r="H845" s="5">
        <v>3015000</v>
      </c>
    </row>
    <row r="846" spans="1:8" ht="18.75" x14ac:dyDescent="0.2">
      <c r="A846" s="3" t="str">
        <f t="shared" si="106"/>
        <v>98/11/26</v>
      </c>
      <c r="B846" s="3" t="str">
        <f t="shared" si="107"/>
        <v>كالاهاي مصرفي</v>
      </c>
      <c r="C846" s="3" t="str">
        <f>"انبار مصرفي ZU1"</f>
        <v>انبار مصرفي ZU1</v>
      </c>
      <c r="D846" s="3" t="str">
        <f>"0204001885"</f>
        <v>0204001885</v>
      </c>
      <c r="E846" s="3" t="str">
        <f>"كاسه نمد Mild Steel 60*80*3 AIA"</f>
        <v>كاسه نمد Mild Steel 60*80*3 AIA</v>
      </c>
      <c r="F846" s="3" t="str">
        <f t="shared" si="108"/>
        <v>عدد</v>
      </c>
      <c r="G846" s="3">
        <v>7</v>
      </c>
      <c r="H846" s="5">
        <v>3017000</v>
      </c>
    </row>
    <row r="847" spans="1:8" ht="18.75" x14ac:dyDescent="0.2">
      <c r="A847" s="3" t="str">
        <f t="shared" si="106"/>
        <v>98/11/26</v>
      </c>
      <c r="B847" s="3" t="str">
        <f t="shared" si="107"/>
        <v>كالاهاي مصرفي</v>
      </c>
      <c r="C847" s="3" t="str">
        <f>"انبار مركزي ( عمومي )"</f>
        <v>انبار مركزي ( عمومي )</v>
      </c>
      <c r="D847" s="3" t="str">
        <f>"0213000780"</f>
        <v>0213000780</v>
      </c>
      <c r="E847" s="3" t="str">
        <f>"صفحه سنگ ساب بزرگ 22*6*180"</f>
        <v>صفحه سنگ ساب بزرگ 22*6*180</v>
      </c>
      <c r="F847" s="3" t="str">
        <f t="shared" si="108"/>
        <v>عدد</v>
      </c>
      <c r="G847" s="3">
        <v>50</v>
      </c>
      <c r="H847" s="5">
        <v>3028282</v>
      </c>
    </row>
    <row r="848" spans="1:8" ht="18.75" x14ac:dyDescent="0.2">
      <c r="A848" s="3" t="str">
        <f t="shared" si="106"/>
        <v>98/11/26</v>
      </c>
      <c r="B848" s="3" t="str">
        <f t="shared" si="107"/>
        <v>كالاهاي مصرفي</v>
      </c>
      <c r="C848" s="3" t="str">
        <f t="shared" ref="C848:C854" si="109">"انبار مصرفي ZU1"</f>
        <v>انبار مصرفي ZU1</v>
      </c>
      <c r="D848" s="3" t="str">
        <f>"0204000599"</f>
        <v>0204000599</v>
      </c>
      <c r="E848" s="3" t="str">
        <f>"بيرينگ 1310EKTN9"</f>
        <v>بيرينگ 1310EKTN9</v>
      </c>
      <c r="F848" s="3" t="str">
        <f t="shared" si="108"/>
        <v>عدد</v>
      </c>
      <c r="G848" s="3">
        <v>3</v>
      </c>
      <c r="H848" s="5">
        <v>3060000</v>
      </c>
    </row>
    <row r="849" spans="1:8" ht="18.75" x14ac:dyDescent="0.2">
      <c r="A849" s="3" t="str">
        <f t="shared" si="106"/>
        <v>98/11/26</v>
      </c>
      <c r="B849" s="3" t="str">
        <f t="shared" si="107"/>
        <v>كالاهاي مصرفي</v>
      </c>
      <c r="C849" s="3" t="str">
        <f t="shared" si="109"/>
        <v>انبار مصرفي ZU1</v>
      </c>
      <c r="D849" s="3" t="str">
        <f>"0213000404"</f>
        <v>0213000404</v>
      </c>
      <c r="E849" s="3" t="str">
        <f>"پيچ يك سر رزوه كربن استيل M16*50"</f>
        <v>پيچ يك سر رزوه كربن استيل M16*50</v>
      </c>
      <c r="F849" s="3" t="str">
        <f t="shared" si="108"/>
        <v>عدد</v>
      </c>
      <c r="G849" s="3">
        <v>140</v>
      </c>
      <c r="H849" s="5">
        <v>3060909</v>
      </c>
    </row>
    <row r="850" spans="1:8" ht="18.75" x14ac:dyDescent="0.2">
      <c r="A850" s="3" t="str">
        <f t="shared" si="106"/>
        <v>98/11/26</v>
      </c>
      <c r="B850" s="3" t="str">
        <f t="shared" si="107"/>
        <v>كالاهاي مصرفي</v>
      </c>
      <c r="C850" s="3" t="str">
        <f t="shared" si="109"/>
        <v>انبار مصرفي ZU1</v>
      </c>
      <c r="D850" s="3" t="str">
        <f>"0213000185"</f>
        <v>0213000185</v>
      </c>
      <c r="E850" s="3" t="str">
        <f>"مهره M24"</f>
        <v>مهره M24</v>
      </c>
      <c r="F850" s="3" t="str">
        <f t="shared" si="108"/>
        <v>عدد</v>
      </c>
      <c r="G850" s="3">
        <v>263</v>
      </c>
      <c r="H850" s="5">
        <v>3061320</v>
      </c>
    </row>
    <row r="851" spans="1:8" ht="18.75" x14ac:dyDescent="0.2">
      <c r="A851" s="3" t="str">
        <f t="shared" si="106"/>
        <v>98/11/26</v>
      </c>
      <c r="B851" s="3" t="str">
        <f t="shared" si="107"/>
        <v>كالاهاي مصرفي</v>
      </c>
      <c r="C851" s="3" t="str">
        <f t="shared" si="109"/>
        <v>انبار مصرفي ZU1</v>
      </c>
      <c r="D851" s="3" t="str">
        <f>"0204001416"</f>
        <v>0204001416</v>
      </c>
      <c r="E851" s="3" t="str">
        <f>"فيبر وفنر 35mm"</f>
        <v>فيبر وفنر 35mm</v>
      </c>
      <c r="F851" s="3" t="str">
        <f t="shared" si="108"/>
        <v>عدد</v>
      </c>
      <c r="G851" s="3">
        <v>3</v>
      </c>
      <c r="H851" s="5">
        <v>3062069</v>
      </c>
    </row>
    <row r="852" spans="1:8" ht="18.75" x14ac:dyDescent="0.2">
      <c r="A852" s="3" t="str">
        <f t="shared" si="106"/>
        <v>98/11/26</v>
      </c>
      <c r="B852" s="3" t="str">
        <f t="shared" si="107"/>
        <v>كالاهاي مصرفي</v>
      </c>
      <c r="C852" s="3" t="str">
        <f t="shared" si="109"/>
        <v>انبار مصرفي ZU1</v>
      </c>
      <c r="D852" s="3" t="str">
        <f>"0213000034"</f>
        <v>0213000034</v>
      </c>
      <c r="E852" s="3" t="str">
        <f>"پيچ M8*35"</f>
        <v>پيچ M8*35</v>
      </c>
      <c r="F852" s="3" t="str">
        <f t="shared" si="108"/>
        <v>عدد</v>
      </c>
      <c r="G852" s="3">
        <v>704</v>
      </c>
      <c r="H852" s="5">
        <v>3063240</v>
      </c>
    </row>
    <row r="853" spans="1:8" ht="18.75" x14ac:dyDescent="0.2">
      <c r="A853" s="3" t="str">
        <f t="shared" si="106"/>
        <v>98/11/26</v>
      </c>
      <c r="B853" s="3" t="str">
        <f t="shared" si="107"/>
        <v>كالاهاي مصرفي</v>
      </c>
      <c r="C853" s="3" t="str">
        <f t="shared" si="109"/>
        <v>انبار مصرفي ZU1</v>
      </c>
      <c r="D853" s="3" t="str">
        <f>"0204000089"</f>
        <v>0204000089</v>
      </c>
      <c r="E853" s="3" t="str">
        <f>"بيرينگ 2Z/C3-6212"</f>
        <v>بيرينگ 2Z/C3-6212</v>
      </c>
      <c r="F853" s="3" t="str">
        <f t="shared" si="108"/>
        <v>عدد</v>
      </c>
      <c r="G853" s="3">
        <v>5</v>
      </c>
      <c r="H853" s="5">
        <v>3070000</v>
      </c>
    </row>
    <row r="854" spans="1:8" ht="18.75" x14ac:dyDescent="0.2">
      <c r="A854" s="3" t="str">
        <f t="shared" si="106"/>
        <v>98/11/26</v>
      </c>
      <c r="B854" s="3" t="str">
        <f t="shared" si="107"/>
        <v>كالاهاي مصرفي</v>
      </c>
      <c r="C854" s="3" t="str">
        <f t="shared" si="109"/>
        <v>انبار مصرفي ZU1</v>
      </c>
      <c r="D854" s="3" t="str">
        <f>"0204001661"</f>
        <v>0204001661</v>
      </c>
      <c r="E854" s="3" t="str">
        <f>"اورينگ HNBR 65 *3.5"</f>
        <v>اورينگ HNBR 65 *3.5</v>
      </c>
      <c r="F854" s="3" t="str">
        <f t="shared" si="108"/>
        <v>عدد</v>
      </c>
      <c r="G854" s="3">
        <v>20</v>
      </c>
      <c r="H854" s="5">
        <v>3075000</v>
      </c>
    </row>
    <row r="855" spans="1:8" ht="18.75" x14ac:dyDescent="0.2">
      <c r="A855" s="3" t="str">
        <f t="shared" si="106"/>
        <v>98/11/26</v>
      </c>
      <c r="B855" s="3" t="str">
        <f t="shared" si="107"/>
        <v>كالاهاي مصرفي</v>
      </c>
      <c r="C855" s="3" t="str">
        <f>"انبار مركزي ( عمومي )"</f>
        <v>انبار مركزي ( عمومي )</v>
      </c>
      <c r="D855" s="3" t="str">
        <f>"0202000502"</f>
        <v>0202000502</v>
      </c>
      <c r="E855" s="3" t="str">
        <f>"آي سي سه پايه H451  TOP223Y"</f>
        <v>آي سي سه پايه H451  TOP223Y</v>
      </c>
      <c r="F855" s="3" t="str">
        <f t="shared" si="108"/>
        <v>عدد</v>
      </c>
      <c r="G855" s="3">
        <v>10</v>
      </c>
      <c r="H855" s="5">
        <v>3100000</v>
      </c>
    </row>
    <row r="856" spans="1:8" ht="18.75" x14ac:dyDescent="0.2">
      <c r="A856" s="3" t="str">
        <f t="shared" si="106"/>
        <v>98/11/26</v>
      </c>
      <c r="B856" s="3" t="str">
        <f t="shared" si="107"/>
        <v>كالاهاي مصرفي</v>
      </c>
      <c r="C856" s="3" t="str">
        <f>"انبار مركزي ( عمومي )"</f>
        <v>انبار مركزي ( عمومي )</v>
      </c>
      <c r="D856" s="3" t="str">
        <f>"0212000008"</f>
        <v>0212000008</v>
      </c>
      <c r="E856" s="3" t="str">
        <f>"عايق حرارتي شماره 25"</f>
        <v>عايق حرارتي شماره 25</v>
      </c>
      <c r="F856" s="3" t="str">
        <f>"متر"</f>
        <v>متر</v>
      </c>
      <c r="G856" s="3">
        <v>40</v>
      </c>
      <c r="H856" s="5">
        <v>3120000</v>
      </c>
    </row>
    <row r="857" spans="1:8" ht="18.75" x14ac:dyDescent="0.2">
      <c r="A857" s="3" t="str">
        <f t="shared" si="106"/>
        <v>98/11/26</v>
      </c>
      <c r="B857" s="3" t="str">
        <f t="shared" si="107"/>
        <v>كالاهاي مصرفي</v>
      </c>
      <c r="C857" s="3" t="str">
        <f>"انبار مركزي ( عمومي )"</f>
        <v>انبار مركزي ( عمومي )</v>
      </c>
      <c r="D857" s="3" t="str">
        <f>"0213000829"</f>
        <v>0213000829</v>
      </c>
      <c r="E857" s="3" t="str">
        <f>"صفحه ساب ميني سنگ22*6*115"</f>
        <v>صفحه ساب ميني سنگ22*6*115</v>
      </c>
      <c r="F857" s="3" t="str">
        <f>"عدد"</f>
        <v>عدد</v>
      </c>
      <c r="G857" s="3">
        <v>50</v>
      </c>
      <c r="H857" s="5">
        <v>3135894</v>
      </c>
    </row>
    <row r="858" spans="1:8" ht="18.75" x14ac:dyDescent="0.2">
      <c r="A858" s="3" t="str">
        <f t="shared" si="106"/>
        <v>98/11/26</v>
      </c>
      <c r="B858" s="3" t="str">
        <f t="shared" si="107"/>
        <v>كالاهاي مصرفي</v>
      </c>
      <c r="C858" s="3" t="str">
        <f>"انبار مصرفي ZU1"</f>
        <v>انبار مصرفي ZU1</v>
      </c>
      <c r="D858" s="3" t="str">
        <f>"0204001879"</f>
        <v>0204001879</v>
      </c>
      <c r="E858" s="3" t="str">
        <f>"كاسه نمد Mild Steel 120*150*3 AIA"</f>
        <v>كاسه نمد Mild Steel 120*150*3 AIA</v>
      </c>
      <c r="F858" s="3" t="str">
        <f>"عدد"</f>
        <v>عدد</v>
      </c>
      <c r="G858" s="3">
        <v>8</v>
      </c>
      <c r="H858" s="5">
        <v>3136000</v>
      </c>
    </row>
    <row r="859" spans="1:8" ht="18.75" x14ac:dyDescent="0.2">
      <c r="A859" s="3" t="str">
        <f t="shared" si="106"/>
        <v>98/11/26</v>
      </c>
      <c r="B859" s="3" t="str">
        <f t="shared" si="107"/>
        <v>كالاهاي مصرفي</v>
      </c>
      <c r="C859" s="3" t="str">
        <f>"انبار مصرفي ZU1"</f>
        <v>انبار مصرفي ZU1</v>
      </c>
      <c r="D859" s="3" t="str">
        <f>"0204001862"</f>
        <v>0204001862</v>
      </c>
      <c r="E859" s="3" t="str">
        <f>"اورينگ HNBR 84*3.8"</f>
        <v>اورينگ HNBR 84*3.8</v>
      </c>
      <c r="F859" s="3" t="str">
        <f>"عدد"</f>
        <v>عدد</v>
      </c>
      <c r="G859" s="3">
        <v>10</v>
      </c>
      <c r="H859" s="5">
        <v>3140000</v>
      </c>
    </row>
    <row r="860" spans="1:8" ht="18.75" x14ac:dyDescent="0.2">
      <c r="A860" s="3" t="str">
        <f t="shared" si="106"/>
        <v>98/11/26</v>
      </c>
      <c r="B860" s="3" t="str">
        <f t="shared" si="107"/>
        <v>كالاهاي مصرفي</v>
      </c>
      <c r="C860" s="3" t="str">
        <f>"انبار مركزي ( عمومي )"</f>
        <v>انبار مركزي ( عمومي )</v>
      </c>
      <c r="D860" s="3" t="str">
        <f>"0203000114"</f>
        <v>0203000114</v>
      </c>
      <c r="E860" s="3" t="str">
        <f>"پيچ گوشتي ساعتي"</f>
        <v>پيچ گوشتي ساعتي</v>
      </c>
      <c r="F860" s="3" t="str">
        <f>"دست"</f>
        <v>دست</v>
      </c>
      <c r="G860" s="3">
        <v>5</v>
      </c>
      <c r="H860" s="5">
        <v>3150000</v>
      </c>
    </row>
    <row r="861" spans="1:8" ht="18.75" x14ac:dyDescent="0.2">
      <c r="A861" s="3" t="str">
        <f t="shared" si="106"/>
        <v>98/11/26</v>
      </c>
      <c r="B861" s="3" t="str">
        <f t="shared" si="107"/>
        <v>كالاهاي مصرفي</v>
      </c>
      <c r="C861" s="3" t="str">
        <f>"انبار مركزي ( عمومي )"</f>
        <v>انبار مركزي ( عمومي )</v>
      </c>
      <c r="D861" s="3" t="str">
        <f>"0206000405"</f>
        <v>0206000405</v>
      </c>
      <c r="E861" s="3" t="str">
        <f>"لوله نيوپايپ 16"</f>
        <v>لوله نيوپايپ 16</v>
      </c>
      <c r="F861" s="3" t="str">
        <f>"متر"</f>
        <v>متر</v>
      </c>
      <c r="G861" s="3">
        <v>75</v>
      </c>
      <c r="H861" s="5">
        <v>3150000</v>
      </c>
    </row>
    <row r="862" spans="1:8" ht="18.75" x14ac:dyDescent="0.2">
      <c r="A862" s="3" t="str">
        <f t="shared" si="106"/>
        <v>98/11/26</v>
      </c>
      <c r="B862" s="3" t="str">
        <f t="shared" si="107"/>
        <v>كالاهاي مصرفي</v>
      </c>
      <c r="C862" s="3" t="str">
        <f>"انبار مركزي ( عمومي )"</f>
        <v>انبار مركزي ( عمومي )</v>
      </c>
      <c r="D862" s="3" t="str">
        <f>"0203000216"</f>
        <v>0203000216</v>
      </c>
      <c r="E862" s="3" t="str">
        <f>"آچار يكسر رينگ و يكسر تخت 6"</f>
        <v>آچار يكسر رينگ و يكسر تخت 6</v>
      </c>
      <c r="F862" s="3" t="str">
        <f t="shared" ref="F862:F876" si="110">"عدد"</f>
        <v>عدد</v>
      </c>
      <c r="G862" s="3">
        <v>26</v>
      </c>
      <c r="H862" s="5">
        <v>3157143</v>
      </c>
    </row>
    <row r="863" spans="1:8" ht="18.75" x14ac:dyDescent="0.2">
      <c r="A863" s="3" t="str">
        <f t="shared" si="106"/>
        <v>98/11/26</v>
      </c>
      <c r="B863" s="3" t="str">
        <f t="shared" si="107"/>
        <v>كالاهاي مصرفي</v>
      </c>
      <c r="C863" s="3" t="str">
        <f t="shared" ref="C863:C873" si="111">"انبار مصرفي ZU1"</f>
        <v>انبار مصرفي ZU1</v>
      </c>
      <c r="D863" s="3" t="str">
        <f>"0204000383"</f>
        <v>0204000383</v>
      </c>
      <c r="E863" s="3" t="str">
        <f>"بيرينگ NJ206-ECJ"</f>
        <v>بيرينگ NJ206-ECJ</v>
      </c>
      <c r="F863" s="3" t="str">
        <f t="shared" si="110"/>
        <v>عدد</v>
      </c>
      <c r="G863" s="3">
        <v>4</v>
      </c>
      <c r="H863" s="5">
        <v>3160000</v>
      </c>
    </row>
    <row r="864" spans="1:8" ht="18.75" x14ac:dyDescent="0.2">
      <c r="A864" s="3" t="str">
        <f t="shared" si="106"/>
        <v>98/11/26</v>
      </c>
      <c r="B864" s="3" t="str">
        <f t="shared" si="107"/>
        <v>كالاهاي مصرفي</v>
      </c>
      <c r="C864" s="3" t="str">
        <f t="shared" si="111"/>
        <v>انبار مصرفي ZU1</v>
      </c>
      <c r="D864" s="3" t="str">
        <f>"0203000148"</f>
        <v>0203000148</v>
      </c>
      <c r="E864" s="3" t="str">
        <f>"پيچ گوشتي چهار سو"</f>
        <v>پيچ گوشتي چهار سو</v>
      </c>
      <c r="F864" s="3" t="str">
        <f t="shared" si="110"/>
        <v>عدد</v>
      </c>
      <c r="G864" s="3">
        <v>31</v>
      </c>
      <c r="H864" s="5">
        <v>3191720</v>
      </c>
    </row>
    <row r="865" spans="1:8" ht="18.75" x14ac:dyDescent="0.2">
      <c r="A865" s="3" t="str">
        <f t="shared" si="106"/>
        <v>98/11/26</v>
      </c>
      <c r="B865" s="3" t="str">
        <f t="shared" si="107"/>
        <v>كالاهاي مصرفي</v>
      </c>
      <c r="C865" s="3" t="str">
        <f t="shared" si="111"/>
        <v>انبار مصرفي ZU1</v>
      </c>
      <c r="D865" s="3" t="str">
        <f>"0204000236"</f>
        <v>0204000236</v>
      </c>
      <c r="E865" s="3" t="str">
        <f>"واشر اورينگ 265 *5MM NBR"</f>
        <v>واشر اورينگ 265 *5MM NBR</v>
      </c>
      <c r="F865" s="3" t="str">
        <f t="shared" si="110"/>
        <v>عدد</v>
      </c>
      <c r="G865" s="3">
        <v>40</v>
      </c>
      <c r="H865" s="5">
        <v>3200000</v>
      </c>
    </row>
    <row r="866" spans="1:8" ht="18.75" x14ac:dyDescent="0.2">
      <c r="A866" s="3" t="str">
        <f t="shared" si="106"/>
        <v>98/11/26</v>
      </c>
      <c r="B866" s="3" t="str">
        <f t="shared" si="107"/>
        <v>كالاهاي مصرفي</v>
      </c>
      <c r="C866" s="3" t="str">
        <f t="shared" si="111"/>
        <v>انبار مصرفي ZU1</v>
      </c>
      <c r="D866" s="3" t="str">
        <f>"0204000971"</f>
        <v>0204000971</v>
      </c>
      <c r="E866" s="3" t="str">
        <f>"بيرينگ 6307 2RS"</f>
        <v>بيرينگ 6307 2RS</v>
      </c>
      <c r="F866" s="3" t="str">
        <f t="shared" si="110"/>
        <v>عدد</v>
      </c>
      <c r="G866" s="3">
        <v>2</v>
      </c>
      <c r="H866" s="5">
        <v>3200000</v>
      </c>
    </row>
    <row r="867" spans="1:8" ht="18.75" x14ac:dyDescent="0.2">
      <c r="A867" s="3" t="str">
        <f t="shared" si="106"/>
        <v>98/11/26</v>
      </c>
      <c r="B867" s="3" t="str">
        <f t="shared" si="107"/>
        <v>كالاهاي مصرفي</v>
      </c>
      <c r="C867" s="3" t="str">
        <f t="shared" si="111"/>
        <v>انبار مصرفي ZU1</v>
      </c>
      <c r="D867" s="3" t="str">
        <f>"0204001498"</f>
        <v>0204001498</v>
      </c>
      <c r="E867" s="3" t="str">
        <f>"بيرينگ 6407"</f>
        <v>بيرينگ 6407</v>
      </c>
      <c r="F867" s="3" t="str">
        <f t="shared" si="110"/>
        <v>عدد</v>
      </c>
      <c r="G867" s="3">
        <v>4</v>
      </c>
      <c r="H867" s="5">
        <v>3200000</v>
      </c>
    </row>
    <row r="868" spans="1:8" ht="18.75" x14ac:dyDescent="0.2">
      <c r="A868" s="3" t="str">
        <f t="shared" si="106"/>
        <v>98/11/26</v>
      </c>
      <c r="B868" s="3" t="str">
        <f t="shared" si="107"/>
        <v>كالاهاي مصرفي</v>
      </c>
      <c r="C868" s="3" t="str">
        <f t="shared" si="111"/>
        <v>انبار مصرفي ZU1</v>
      </c>
      <c r="D868" s="3" t="str">
        <f>"0204001547"</f>
        <v>0204001547</v>
      </c>
      <c r="E868" s="3" t="str">
        <f>"بيرينگ 30312 J2/Q"</f>
        <v>بيرينگ 30312 J2/Q</v>
      </c>
      <c r="F868" s="3" t="str">
        <f t="shared" si="110"/>
        <v>عدد</v>
      </c>
      <c r="G868" s="3">
        <v>4</v>
      </c>
      <c r="H868" s="5">
        <v>3200000</v>
      </c>
    </row>
    <row r="869" spans="1:8" ht="18.75" x14ac:dyDescent="0.2">
      <c r="A869" s="3" t="str">
        <f t="shared" si="106"/>
        <v>98/11/26</v>
      </c>
      <c r="B869" s="3" t="str">
        <f t="shared" si="107"/>
        <v>كالاهاي مصرفي</v>
      </c>
      <c r="C869" s="3" t="str">
        <f t="shared" si="111"/>
        <v>انبار مصرفي ZU1</v>
      </c>
      <c r="D869" s="3" t="str">
        <f>"0204001558"</f>
        <v>0204001558</v>
      </c>
      <c r="E869" s="3" t="str">
        <f>"بيرينگ 30212 J2/Q"</f>
        <v>بيرينگ 30212 J2/Q</v>
      </c>
      <c r="F869" s="3" t="str">
        <f t="shared" si="110"/>
        <v>عدد</v>
      </c>
      <c r="G869" s="3">
        <v>4</v>
      </c>
      <c r="H869" s="5">
        <v>3200000</v>
      </c>
    </row>
    <row r="870" spans="1:8" ht="18.75" x14ac:dyDescent="0.2">
      <c r="A870" s="3" t="str">
        <f t="shared" si="106"/>
        <v>98/11/26</v>
      </c>
      <c r="B870" s="3" t="str">
        <f t="shared" si="107"/>
        <v>كالاهاي مصرفي</v>
      </c>
      <c r="C870" s="3" t="str">
        <f t="shared" si="111"/>
        <v>انبار مصرفي ZU1</v>
      </c>
      <c r="D870" s="3" t="str">
        <f>"0213000027"</f>
        <v>0213000027</v>
      </c>
      <c r="E870" s="3" t="str">
        <f>"پيچ M12*30"</f>
        <v>پيچ M12*30</v>
      </c>
      <c r="F870" s="3" t="str">
        <f t="shared" si="110"/>
        <v>عدد</v>
      </c>
      <c r="G870" s="3">
        <v>320</v>
      </c>
      <c r="H870" s="5">
        <v>3200000</v>
      </c>
    </row>
    <row r="871" spans="1:8" ht="18.75" x14ac:dyDescent="0.2">
      <c r="A871" s="3" t="str">
        <f t="shared" si="106"/>
        <v>98/11/26</v>
      </c>
      <c r="B871" s="3" t="str">
        <f t="shared" si="107"/>
        <v>كالاهاي مصرفي</v>
      </c>
      <c r="C871" s="3" t="str">
        <f t="shared" si="111"/>
        <v>انبار مصرفي ZU1</v>
      </c>
      <c r="D871" s="3" t="str">
        <f>"0204001523"</f>
        <v>0204001523</v>
      </c>
      <c r="E871" s="3" t="str">
        <f>"كاسه نمد 13 *140 *110"</f>
        <v>كاسه نمد 13 *140 *110</v>
      </c>
      <c r="F871" s="3" t="str">
        <f t="shared" si="110"/>
        <v>عدد</v>
      </c>
      <c r="G871" s="3">
        <v>8</v>
      </c>
      <c r="H871" s="5">
        <v>3220000</v>
      </c>
    </row>
    <row r="872" spans="1:8" ht="18.75" x14ac:dyDescent="0.2">
      <c r="A872" s="3" t="str">
        <f t="shared" si="106"/>
        <v>98/11/26</v>
      </c>
      <c r="B872" s="3" t="str">
        <f t="shared" si="107"/>
        <v>كالاهاي مصرفي</v>
      </c>
      <c r="C872" s="3" t="str">
        <f t="shared" si="111"/>
        <v>انبار مصرفي ZU1</v>
      </c>
      <c r="D872" s="3" t="str">
        <f>"0211000745"</f>
        <v>0211000745</v>
      </c>
      <c r="E872" s="3" t="str">
        <f>"پلاك فلزي تجهيزات"</f>
        <v>پلاك فلزي تجهيزات</v>
      </c>
      <c r="F872" s="3" t="str">
        <f t="shared" si="110"/>
        <v>عدد</v>
      </c>
      <c r="G872" s="3">
        <v>46</v>
      </c>
      <c r="H872" s="5">
        <v>3221000</v>
      </c>
    </row>
    <row r="873" spans="1:8" ht="18.75" x14ac:dyDescent="0.2">
      <c r="A873" s="3" t="str">
        <f t="shared" si="106"/>
        <v>98/11/26</v>
      </c>
      <c r="B873" s="3" t="str">
        <f t="shared" si="107"/>
        <v>كالاهاي مصرفي</v>
      </c>
      <c r="C873" s="3" t="str">
        <f t="shared" si="111"/>
        <v>انبار مصرفي ZU1</v>
      </c>
      <c r="D873" s="3" t="str">
        <f>"0204001355"</f>
        <v>0204001355</v>
      </c>
      <c r="E873" s="3" t="str">
        <f>"اورينگ HNBR 25*3.6"</f>
        <v>اورينگ HNBR 25*3.6</v>
      </c>
      <c r="F873" s="3" t="str">
        <f t="shared" si="110"/>
        <v>عدد</v>
      </c>
      <c r="G873" s="3">
        <v>24</v>
      </c>
      <c r="H873" s="5">
        <v>3230000</v>
      </c>
    </row>
    <row r="874" spans="1:8" ht="18.75" x14ac:dyDescent="0.2">
      <c r="A874" s="3" t="str">
        <f t="shared" si="106"/>
        <v>98/11/26</v>
      </c>
      <c r="B874" s="3" t="str">
        <f t="shared" si="107"/>
        <v>كالاهاي مصرفي</v>
      </c>
      <c r="C874" s="3" t="str">
        <f>"انبار مركزي ( عمومي )"</f>
        <v>انبار مركزي ( عمومي )</v>
      </c>
      <c r="D874" s="3" t="str">
        <f>"0203000271"</f>
        <v>0203000271</v>
      </c>
      <c r="E874" s="3" t="str">
        <f>"آچار يكسر رينگ و يكسر تخت 15"</f>
        <v>آچار يكسر رينگ و يكسر تخت 15</v>
      </c>
      <c r="F874" s="3" t="str">
        <f t="shared" si="110"/>
        <v>عدد</v>
      </c>
      <c r="G874" s="3">
        <v>18</v>
      </c>
      <c r="H874" s="5">
        <v>3240000</v>
      </c>
    </row>
    <row r="875" spans="1:8" ht="18.75" x14ac:dyDescent="0.2">
      <c r="A875" s="3" t="str">
        <f t="shared" si="106"/>
        <v>98/11/26</v>
      </c>
      <c r="B875" s="3" t="str">
        <f t="shared" si="107"/>
        <v>كالاهاي مصرفي</v>
      </c>
      <c r="C875" s="3" t="str">
        <f>"انبار مركزي ( عمومي )"</f>
        <v>انبار مركزي ( عمومي )</v>
      </c>
      <c r="D875" s="3" t="str">
        <f>"0211000179"</f>
        <v>0211000179</v>
      </c>
      <c r="E875" s="3" t="str">
        <f>"اسپري بالن گاز سوپاپ دار"</f>
        <v>اسپري بالن گاز سوپاپ دار</v>
      </c>
      <c r="F875" s="3" t="str">
        <f t="shared" si="110"/>
        <v>عدد</v>
      </c>
      <c r="G875" s="3">
        <v>68</v>
      </c>
      <c r="H875" s="5">
        <v>3240000</v>
      </c>
    </row>
    <row r="876" spans="1:8" ht="18.75" x14ac:dyDescent="0.2">
      <c r="A876" s="3" t="str">
        <f t="shared" si="106"/>
        <v>98/11/26</v>
      </c>
      <c r="B876" s="3" t="str">
        <f t="shared" si="107"/>
        <v>كالاهاي مصرفي</v>
      </c>
      <c r="C876" s="3" t="str">
        <f>"انبار مركزي ( عمومي )"</f>
        <v>انبار مركزي ( عمومي )</v>
      </c>
      <c r="D876" s="3" t="str">
        <f>"0211001038"</f>
        <v>0211001038</v>
      </c>
      <c r="E876" s="3" t="str">
        <f>"لامپ چراغ سيگنال  110VDC"</f>
        <v>لامپ چراغ سيگنال  110VDC</v>
      </c>
      <c r="F876" s="3" t="str">
        <f t="shared" si="110"/>
        <v>عدد</v>
      </c>
      <c r="G876" s="3">
        <v>240</v>
      </c>
      <c r="H876" s="5">
        <v>3240000</v>
      </c>
    </row>
    <row r="877" spans="1:8" ht="18.75" x14ac:dyDescent="0.2">
      <c r="A877" s="3" t="str">
        <f t="shared" si="106"/>
        <v>98/11/26</v>
      </c>
      <c r="B877" s="3" t="str">
        <f t="shared" si="107"/>
        <v>كالاهاي مصرفي</v>
      </c>
      <c r="C877" s="3" t="str">
        <f>"انبار مصرفي ZU1"</f>
        <v>انبار مصرفي ZU1</v>
      </c>
      <c r="D877" s="3" t="str">
        <f>"0204000847"</f>
        <v>0204000847</v>
      </c>
      <c r="E877" s="3" t="str">
        <f>"تسمه پروانه B64"</f>
        <v>تسمه پروانه B64</v>
      </c>
      <c r="F877" s="3" t="str">
        <f>"حلقه"</f>
        <v>حلقه</v>
      </c>
      <c r="G877" s="3">
        <v>11</v>
      </c>
      <c r="H877" s="5">
        <v>3245000</v>
      </c>
    </row>
    <row r="878" spans="1:8" ht="18.75" x14ac:dyDescent="0.2">
      <c r="A878" s="3" t="str">
        <f t="shared" si="106"/>
        <v>98/11/26</v>
      </c>
      <c r="B878" s="3" t="str">
        <f t="shared" si="107"/>
        <v>كالاهاي مصرفي</v>
      </c>
      <c r="C878" s="3" t="str">
        <f>"انبار مصرفي ZU1"</f>
        <v>انبار مصرفي ZU1</v>
      </c>
      <c r="D878" s="3" t="str">
        <f>"0213000157"</f>
        <v>0213000157</v>
      </c>
      <c r="E878" s="3" t="str">
        <f>"پيچ دو سر رزوه M12*80"</f>
        <v>پيچ دو سر رزوه M12*80</v>
      </c>
      <c r="F878" s="3" t="str">
        <f t="shared" ref="F878:F893" si="112">"عدد"</f>
        <v>عدد</v>
      </c>
      <c r="G878" s="3">
        <v>394</v>
      </c>
      <c r="H878" s="5">
        <v>3250500</v>
      </c>
    </row>
    <row r="879" spans="1:8" ht="18.75" x14ac:dyDescent="0.2">
      <c r="A879" s="3" t="str">
        <f t="shared" si="106"/>
        <v>98/11/26</v>
      </c>
      <c r="B879" s="3" t="str">
        <f t="shared" si="107"/>
        <v>كالاهاي مصرفي</v>
      </c>
      <c r="C879" s="3" t="str">
        <f>"انبار مصرفي ZU1"</f>
        <v>انبار مصرفي ZU1</v>
      </c>
      <c r="D879" s="3" t="str">
        <f>"0204000814"</f>
        <v>0204000814</v>
      </c>
      <c r="E879" s="3" t="str">
        <f>"بيرينگ 2RS/C3-607"</f>
        <v>بيرينگ 2RS/C3-607</v>
      </c>
      <c r="F879" s="3" t="str">
        <f t="shared" si="112"/>
        <v>عدد</v>
      </c>
      <c r="G879" s="3">
        <v>48</v>
      </c>
      <c r="H879" s="5">
        <v>3272727</v>
      </c>
    </row>
    <row r="880" spans="1:8" ht="18.75" x14ac:dyDescent="0.2">
      <c r="A880" s="3" t="str">
        <f t="shared" si="106"/>
        <v>98/11/26</v>
      </c>
      <c r="B880" s="3" t="str">
        <f t="shared" si="107"/>
        <v>كالاهاي مصرفي</v>
      </c>
      <c r="C880" s="3" t="str">
        <f>"انبار مركزي ( عمومي )"</f>
        <v>انبار مركزي ( عمومي )</v>
      </c>
      <c r="D880" s="3" t="str">
        <f>"0211000985"</f>
        <v>0211000985</v>
      </c>
      <c r="E880" s="3" t="str">
        <f>"سيار  برق  4 پريزه (بدون محافظ)"</f>
        <v>سيار  برق  4 پريزه (بدون محافظ)</v>
      </c>
      <c r="F880" s="3" t="str">
        <f t="shared" si="112"/>
        <v>عدد</v>
      </c>
      <c r="G880" s="3">
        <v>8</v>
      </c>
      <c r="H880" s="5">
        <v>3272954</v>
      </c>
    </row>
    <row r="881" spans="1:8" ht="18.75" x14ac:dyDescent="0.2">
      <c r="A881" s="3" t="str">
        <f t="shared" si="106"/>
        <v>98/11/26</v>
      </c>
      <c r="B881" s="3" t="str">
        <f t="shared" si="107"/>
        <v>كالاهاي مصرفي</v>
      </c>
      <c r="C881" s="3" t="str">
        <f>"انبار مركزي ( عمومي )"</f>
        <v>انبار مركزي ( عمومي )</v>
      </c>
      <c r="D881" s="3" t="str">
        <f>"0203000285"</f>
        <v>0203000285</v>
      </c>
      <c r="E881" s="3" t="str">
        <f>"نگهدارنده سيم سيار"</f>
        <v>نگهدارنده سيم سيار</v>
      </c>
      <c r="F881" s="3" t="str">
        <f t="shared" si="112"/>
        <v>عدد</v>
      </c>
      <c r="G881" s="3">
        <v>4</v>
      </c>
      <c r="H881" s="5">
        <v>3288000</v>
      </c>
    </row>
    <row r="882" spans="1:8" ht="18.75" x14ac:dyDescent="0.2">
      <c r="A882" s="3" t="str">
        <f t="shared" si="106"/>
        <v>98/11/26</v>
      </c>
      <c r="B882" s="3" t="str">
        <f t="shared" si="107"/>
        <v>كالاهاي مصرفي</v>
      </c>
      <c r="C882" s="3" t="str">
        <f t="shared" ref="C882:C890" si="113">"انبار مصرفي ZU1"</f>
        <v>انبار مصرفي ZU1</v>
      </c>
      <c r="D882" s="3" t="str">
        <f>"0213000474"</f>
        <v>0213000474</v>
      </c>
      <c r="E882" s="3" t="str">
        <f>"مهره استنلس استيل M30"</f>
        <v>مهره استنلس استيل M30</v>
      </c>
      <c r="F882" s="3" t="str">
        <f t="shared" si="112"/>
        <v>عدد</v>
      </c>
      <c r="G882" s="3">
        <v>36</v>
      </c>
      <c r="H882" s="5">
        <v>3290400</v>
      </c>
    </row>
    <row r="883" spans="1:8" ht="18.75" x14ac:dyDescent="0.2">
      <c r="A883" s="3" t="str">
        <f t="shared" si="106"/>
        <v>98/11/26</v>
      </c>
      <c r="B883" s="3" t="str">
        <f t="shared" si="107"/>
        <v>كالاهاي مصرفي</v>
      </c>
      <c r="C883" s="3" t="str">
        <f t="shared" si="113"/>
        <v>انبار مصرفي ZU1</v>
      </c>
      <c r="D883" s="3" t="str">
        <f>"0213000460"</f>
        <v>0213000460</v>
      </c>
      <c r="E883" s="3" t="str">
        <f>"مهره استنلس استيل M6"</f>
        <v>مهره استنلس استيل M6</v>
      </c>
      <c r="F883" s="3" t="str">
        <f t="shared" si="112"/>
        <v>عدد</v>
      </c>
      <c r="G883" s="3">
        <v>790</v>
      </c>
      <c r="H883" s="5">
        <v>3292892</v>
      </c>
    </row>
    <row r="884" spans="1:8" ht="18.75" x14ac:dyDescent="0.2">
      <c r="A884" s="3" t="str">
        <f t="shared" si="106"/>
        <v>98/11/26</v>
      </c>
      <c r="B884" s="3" t="str">
        <f t="shared" si="107"/>
        <v>كالاهاي مصرفي</v>
      </c>
      <c r="C884" s="3" t="str">
        <f t="shared" si="113"/>
        <v>انبار مصرفي ZU1</v>
      </c>
      <c r="D884" s="3" t="str">
        <f>"0213000419"</f>
        <v>0213000419</v>
      </c>
      <c r="E884" s="3" t="str">
        <f>"پيچ يك سر رزوه استنلس استيل M24*75"</f>
        <v>پيچ يك سر رزوه استنلس استيل M24*75</v>
      </c>
      <c r="F884" s="3" t="str">
        <f t="shared" si="112"/>
        <v>عدد</v>
      </c>
      <c r="G884" s="3">
        <v>26</v>
      </c>
      <c r="H884" s="5">
        <v>3295396</v>
      </c>
    </row>
    <row r="885" spans="1:8" ht="18.75" x14ac:dyDescent="0.2">
      <c r="A885" s="3" t="str">
        <f t="shared" si="106"/>
        <v>98/11/26</v>
      </c>
      <c r="B885" s="3" t="str">
        <f t="shared" si="107"/>
        <v>كالاهاي مصرفي</v>
      </c>
      <c r="C885" s="3" t="str">
        <f t="shared" si="113"/>
        <v>انبار مصرفي ZU1</v>
      </c>
      <c r="D885" s="3" t="str">
        <f>"0204000720"</f>
        <v>0204000720</v>
      </c>
      <c r="E885" s="3" t="str">
        <f>"كاسه نمد Mild Steel 40*72*8 AIB"</f>
        <v>كاسه نمد Mild Steel 40*72*8 AIB</v>
      </c>
      <c r="F885" s="3" t="str">
        <f t="shared" si="112"/>
        <v>عدد</v>
      </c>
      <c r="G885" s="3">
        <v>9</v>
      </c>
      <c r="H885" s="5">
        <v>3303000</v>
      </c>
    </row>
    <row r="886" spans="1:8" ht="18.75" x14ac:dyDescent="0.2">
      <c r="A886" s="3" t="str">
        <f t="shared" si="106"/>
        <v>98/11/26</v>
      </c>
      <c r="B886" s="3" t="str">
        <f t="shared" si="107"/>
        <v>كالاهاي مصرفي</v>
      </c>
      <c r="C886" s="3" t="str">
        <f t="shared" si="113"/>
        <v>انبار مصرفي ZU1</v>
      </c>
      <c r="D886" s="3" t="str">
        <f>"0204001861"</f>
        <v>0204001861</v>
      </c>
      <c r="E886" s="3" t="str">
        <f>"اورينگ HNBR128*4"</f>
        <v>اورينگ HNBR128*4</v>
      </c>
      <c r="F886" s="3" t="str">
        <f t="shared" si="112"/>
        <v>عدد</v>
      </c>
      <c r="G886" s="3">
        <v>8</v>
      </c>
      <c r="H886" s="5">
        <v>3312000</v>
      </c>
    </row>
    <row r="887" spans="1:8" ht="18.75" x14ac:dyDescent="0.2">
      <c r="A887" s="3" t="str">
        <f t="shared" si="106"/>
        <v>98/11/26</v>
      </c>
      <c r="B887" s="3" t="str">
        <f t="shared" si="107"/>
        <v>كالاهاي مصرفي</v>
      </c>
      <c r="C887" s="3" t="str">
        <f t="shared" si="113"/>
        <v>انبار مصرفي ZU1</v>
      </c>
      <c r="D887" s="3" t="str">
        <f>"0215000194"</f>
        <v>0215000194</v>
      </c>
      <c r="E887" s="3" t="str">
        <f>"فيلتر روغن LF670"</f>
        <v>فيلتر روغن LF670</v>
      </c>
      <c r="F887" s="3" t="str">
        <f t="shared" si="112"/>
        <v>عدد</v>
      </c>
      <c r="G887" s="3">
        <v>4</v>
      </c>
      <c r="H887" s="5">
        <v>3320000</v>
      </c>
    </row>
    <row r="888" spans="1:8" ht="18.75" x14ac:dyDescent="0.2">
      <c r="A888" s="3" t="str">
        <f t="shared" si="106"/>
        <v>98/11/26</v>
      </c>
      <c r="B888" s="3" t="str">
        <f t="shared" si="107"/>
        <v>كالاهاي مصرفي</v>
      </c>
      <c r="C888" s="3" t="str">
        <f t="shared" si="113"/>
        <v>انبار مصرفي ZU1</v>
      </c>
      <c r="D888" s="3" t="str">
        <f>"0213000477"</f>
        <v>0213000477</v>
      </c>
      <c r="E888" s="3" t="str">
        <f>"مهره برنجي M42"</f>
        <v>مهره برنجي M42</v>
      </c>
      <c r="F888" s="3" t="str">
        <f t="shared" si="112"/>
        <v>عدد</v>
      </c>
      <c r="G888" s="3">
        <v>14</v>
      </c>
      <c r="H888" s="5">
        <v>3332000</v>
      </c>
    </row>
    <row r="889" spans="1:8" ht="18.75" x14ac:dyDescent="0.2">
      <c r="A889" s="3" t="str">
        <f t="shared" si="106"/>
        <v>98/11/26</v>
      </c>
      <c r="B889" s="3" t="str">
        <f t="shared" si="107"/>
        <v>كالاهاي مصرفي</v>
      </c>
      <c r="C889" s="3" t="str">
        <f t="shared" si="113"/>
        <v>انبار مصرفي ZU1</v>
      </c>
      <c r="D889" s="3" t="str">
        <f>"0204001354"</f>
        <v>0204001354</v>
      </c>
      <c r="E889" s="3" t="str">
        <f>"اورينگ HNBR 72*5.3"</f>
        <v>اورينگ HNBR 72*5.3</v>
      </c>
      <c r="F889" s="3" t="str">
        <f t="shared" si="112"/>
        <v>عدد</v>
      </c>
      <c r="G889" s="3">
        <v>18</v>
      </c>
      <c r="H889" s="5">
        <v>3366000</v>
      </c>
    </row>
    <row r="890" spans="1:8" ht="18.75" x14ac:dyDescent="0.2">
      <c r="A890" s="3" t="str">
        <f t="shared" si="106"/>
        <v>98/11/26</v>
      </c>
      <c r="B890" s="3" t="str">
        <f t="shared" si="107"/>
        <v>كالاهاي مصرفي</v>
      </c>
      <c r="C890" s="3" t="str">
        <f t="shared" si="113"/>
        <v>انبار مصرفي ZU1</v>
      </c>
      <c r="D890" s="3" t="str">
        <f>"0204001397"</f>
        <v>0204001397</v>
      </c>
      <c r="E890" s="3" t="str">
        <f>"اورينگ HNBR 66*4.5"</f>
        <v>اورينگ HNBR 66*4.5</v>
      </c>
      <c r="F890" s="3" t="str">
        <f t="shared" si="112"/>
        <v>عدد</v>
      </c>
      <c r="G890" s="3">
        <v>18</v>
      </c>
      <c r="H890" s="5">
        <v>3366000</v>
      </c>
    </row>
    <row r="891" spans="1:8" ht="18.75" x14ac:dyDescent="0.2">
      <c r="A891" s="3" t="str">
        <f t="shared" si="106"/>
        <v>98/11/26</v>
      </c>
      <c r="B891" s="3" t="str">
        <f t="shared" si="107"/>
        <v>كالاهاي مصرفي</v>
      </c>
      <c r="C891" s="3" t="str">
        <f>"انبار مركزي ( عمومي )"</f>
        <v>انبار مركزي ( عمومي )</v>
      </c>
      <c r="D891" s="3" t="str">
        <f>"0203000153"</f>
        <v>0203000153</v>
      </c>
      <c r="E891" s="3" t="str">
        <f>"پتك 3 كيلويي"</f>
        <v>پتك 3 كيلويي</v>
      </c>
      <c r="F891" s="3" t="str">
        <f t="shared" si="112"/>
        <v>عدد</v>
      </c>
      <c r="G891" s="3">
        <v>1</v>
      </c>
      <c r="H891" s="5">
        <v>3366667</v>
      </c>
    </row>
    <row r="892" spans="1:8" ht="18.75" x14ac:dyDescent="0.2">
      <c r="A892" s="3" t="str">
        <f t="shared" si="106"/>
        <v>98/11/26</v>
      </c>
      <c r="B892" s="3" t="str">
        <f t="shared" si="107"/>
        <v>كالاهاي مصرفي</v>
      </c>
      <c r="C892" s="3" t="str">
        <f>"انبار مصرفي ZU1"</f>
        <v>انبار مصرفي ZU1</v>
      </c>
      <c r="D892" s="3" t="str">
        <f>"0203000134"</f>
        <v>0203000134</v>
      </c>
      <c r="E892" s="3" t="str">
        <f>"آچارفرانسه 15 اينچ ( 380mm )"</f>
        <v>آچارفرانسه 15 اينچ ( 380mm )</v>
      </c>
      <c r="F892" s="3" t="str">
        <f t="shared" si="112"/>
        <v>عدد</v>
      </c>
      <c r="G892" s="3">
        <v>3</v>
      </c>
      <c r="H892" s="5">
        <v>3367500</v>
      </c>
    </row>
    <row r="893" spans="1:8" ht="18.75" x14ac:dyDescent="0.2">
      <c r="A893" s="3" t="str">
        <f t="shared" si="106"/>
        <v>98/11/26</v>
      </c>
      <c r="B893" s="3" t="str">
        <f t="shared" si="107"/>
        <v>كالاهاي مصرفي</v>
      </c>
      <c r="C893" s="3" t="str">
        <f>"انبار مصرفي ZU1"</f>
        <v>انبار مصرفي ZU1</v>
      </c>
      <c r="D893" s="3" t="str">
        <f>"0105000005"</f>
        <v>0105000005</v>
      </c>
      <c r="E893" s="3" t="str">
        <f>"چسب آكواريوم"</f>
        <v>چسب آكواريوم</v>
      </c>
      <c r="F893" s="3" t="str">
        <f t="shared" si="112"/>
        <v>عدد</v>
      </c>
      <c r="G893" s="3">
        <v>15</v>
      </c>
      <c r="H893" s="5">
        <v>3375000</v>
      </c>
    </row>
    <row r="894" spans="1:8" ht="18.75" x14ac:dyDescent="0.2">
      <c r="A894" s="3" t="str">
        <f t="shared" si="106"/>
        <v>98/11/26</v>
      </c>
      <c r="B894" s="3" t="str">
        <f t="shared" si="107"/>
        <v>كالاهاي مصرفي</v>
      </c>
      <c r="C894" s="3" t="str">
        <f>"انبار مركزي ( عمومي )"</f>
        <v>انبار مركزي ( عمومي )</v>
      </c>
      <c r="D894" s="3" t="str">
        <f>"0206000406"</f>
        <v>0206000406</v>
      </c>
      <c r="E894" s="3" t="str">
        <f>"لوله نيوپايپ 20"</f>
        <v>لوله نيوپايپ 20</v>
      </c>
      <c r="F894" s="3" t="str">
        <f>"متر"</f>
        <v>متر</v>
      </c>
      <c r="G894" s="3">
        <v>45</v>
      </c>
      <c r="H894" s="5">
        <v>3375000</v>
      </c>
    </row>
    <row r="895" spans="1:8" ht="18.75" x14ac:dyDescent="0.2">
      <c r="A895" s="3" t="str">
        <f t="shared" si="106"/>
        <v>98/11/26</v>
      </c>
      <c r="B895" s="3" t="str">
        <f t="shared" si="107"/>
        <v>كالاهاي مصرفي</v>
      </c>
      <c r="C895" s="3" t="str">
        <f>"انبار مصرفي ZU1"</f>
        <v>انبار مصرفي ZU1</v>
      </c>
      <c r="D895" s="3" t="str">
        <f>"0204001726"</f>
        <v>0204001726</v>
      </c>
      <c r="E895" s="3" t="str">
        <f>"بوش بيرينگ H 2312"</f>
        <v>بوش بيرينگ H 2312</v>
      </c>
      <c r="F895" s="3" t="str">
        <f t="shared" ref="F895:F900" si="114">"عدد"</f>
        <v>عدد</v>
      </c>
      <c r="G895" s="3">
        <v>7</v>
      </c>
      <c r="H895" s="5">
        <v>3391500</v>
      </c>
    </row>
    <row r="896" spans="1:8" ht="18.75" x14ac:dyDescent="0.2">
      <c r="A896" s="3" t="str">
        <f t="shared" si="106"/>
        <v>98/11/26</v>
      </c>
      <c r="B896" s="3" t="str">
        <f t="shared" si="107"/>
        <v>كالاهاي مصرفي</v>
      </c>
      <c r="C896" s="3" t="str">
        <f>"انبار مصرفي ZU1"</f>
        <v>انبار مصرفي ZU1</v>
      </c>
      <c r="D896" s="3" t="str">
        <f>"0213000414"</f>
        <v>0213000414</v>
      </c>
      <c r="E896" s="3" t="str">
        <f>"پيچ يك سر رزوه كربن استيل M20*75"</f>
        <v>پيچ يك سر رزوه كربن استيل M20*75</v>
      </c>
      <c r="F896" s="3" t="str">
        <f t="shared" si="114"/>
        <v>عدد</v>
      </c>
      <c r="G896" s="3">
        <v>162</v>
      </c>
      <c r="H896" s="5">
        <v>3393444</v>
      </c>
    </row>
    <row r="897" spans="1:8" ht="18.75" x14ac:dyDescent="0.2">
      <c r="A897" s="3" t="str">
        <f t="shared" si="106"/>
        <v>98/11/26</v>
      </c>
      <c r="B897" s="3" t="str">
        <f t="shared" si="107"/>
        <v>كالاهاي مصرفي</v>
      </c>
      <c r="C897" s="3" t="str">
        <f>"انبار مركزي ( عمومي )"</f>
        <v>انبار مركزي ( عمومي )</v>
      </c>
      <c r="D897" s="3" t="str">
        <f>"0205000010"</f>
        <v>0205000010</v>
      </c>
      <c r="E897" s="3" t="str">
        <f>"تراز 1.5 متري"</f>
        <v>تراز 1.5 متري</v>
      </c>
      <c r="F897" s="3" t="str">
        <f t="shared" si="114"/>
        <v>عدد</v>
      </c>
      <c r="G897" s="3">
        <v>2</v>
      </c>
      <c r="H897" s="5">
        <v>3400000</v>
      </c>
    </row>
    <row r="898" spans="1:8" ht="18.75" x14ac:dyDescent="0.2">
      <c r="A898" s="3" t="str">
        <f t="shared" ref="A898:A961" si="115">"98/11/26"</f>
        <v>98/11/26</v>
      </c>
      <c r="B898" s="3" t="str">
        <f t="shared" ref="B898:B961" si="116">"كالاهاي مصرفي"</f>
        <v>كالاهاي مصرفي</v>
      </c>
      <c r="C898" s="3" t="str">
        <f t="shared" ref="C898:C903" si="117">"انبار مصرفي ZU1"</f>
        <v>انبار مصرفي ZU1</v>
      </c>
      <c r="D898" s="3" t="str">
        <f>"0213000175"</f>
        <v>0213000175</v>
      </c>
      <c r="E898" s="3" t="str">
        <f>"واشر تخت M42"</f>
        <v>واشر تخت M42</v>
      </c>
      <c r="F898" s="3" t="str">
        <f t="shared" si="114"/>
        <v>عدد</v>
      </c>
      <c r="G898" s="3">
        <v>375</v>
      </c>
      <c r="H898" s="5">
        <v>3429000</v>
      </c>
    </row>
    <row r="899" spans="1:8" ht="18.75" x14ac:dyDescent="0.2">
      <c r="A899" s="3" t="str">
        <f t="shared" si="115"/>
        <v>98/11/26</v>
      </c>
      <c r="B899" s="3" t="str">
        <f t="shared" si="116"/>
        <v>كالاهاي مصرفي</v>
      </c>
      <c r="C899" s="3" t="str">
        <f t="shared" si="117"/>
        <v>انبار مصرفي ZU1</v>
      </c>
      <c r="D899" s="3" t="str">
        <f>"0204001033"</f>
        <v>0204001033</v>
      </c>
      <c r="E899" s="3" t="str">
        <f>"واشر اورينگ رزينيNBR 79 * 4"</f>
        <v>واشر اورينگ رزينيNBR 79 * 4</v>
      </c>
      <c r="F899" s="3" t="str">
        <f t="shared" si="114"/>
        <v>عدد</v>
      </c>
      <c r="G899" s="3">
        <v>49</v>
      </c>
      <c r="H899" s="5">
        <v>3430000</v>
      </c>
    </row>
    <row r="900" spans="1:8" ht="18.75" x14ac:dyDescent="0.2">
      <c r="A900" s="3" t="str">
        <f t="shared" si="115"/>
        <v>98/11/26</v>
      </c>
      <c r="B900" s="3" t="str">
        <f t="shared" si="116"/>
        <v>كالاهاي مصرفي</v>
      </c>
      <c r="C900" s="3" t="str">
        <f t="shared" si="117"/>
        <v>انبار مصرفي ZU1</v>
      </c>
      <c r="D900" s="3" t="str">
        <f>"0204001901"</f>
        <v>0204001901</v>
      </c>
      <c r="E900" s="3" t="str">
        <f>"كاسه نمد 10 *62 *35"</f>
        <v>كاسه نمد 10 *62 *35</v>
      </c>
      <c r="F900" s="3" t="str">
        <f t="shared" si="114"/>
        <v>عدد</v>
      </c>
      <c r="G900" s="3">
        <v>20</v>
      </c>
      <c r="H900" s="5">
        <v>3450000</v>
      </c>
    </row>
    <row r="901" spans="1:8" ht="18.75" x14ac:dyDescent="0.2">
      <c r="A901" s="3" t="str">
        <f t="shared" si="115"/>
        <v>98/11/26</v>
      </c>
      <c r="B901" s="3" t="str">
        <f t="shared" si="116"/>
        <v>كالاهاي مصرفي</v>
      </c>
      <c r="C901" s="3" t="str">
        <f t="shared" si="117"/>
        <v>انبار مصرفي ZU1</v>
      </c>
      <c r="D901" s="3" t="str">
        <f>"0211000344"</f>
        <v>0211000344</v>
      </c>
      <c r="E901" s="3" t="str">
        <f>"سيم جوش آرگون نمره 8"</f>
        <v>سيم جوش آرگون نمره 8</v>
      </c>
      <c r="F901" s="3" t="str">
        <f>"بسته"</f>
        <v>بسته</v>
      </c>
      <c r="G901" s="3">
        <v>3</v>
      </c>
      <c r="H901" s="5">
        <v>3450000</v>
      </c>
    </row>
    <row r="902" spans="1:8" ht="18.75" x14ac:dyDescent="0.2">
      <c r="A902" s="3" t="str">
        <f t="shared" si="115"/>
        <v>98/11/26</v>
      </c>
      <c r="B902" s="3" t="str">
        <f t="shared" si="116"/>
        <v>كالاهاي مصرفي</v>
      </c>
      <c r="C902" s="3" t="str">
        <f t="shared" si="117"/>
        <v>انبار مصرفي ZU1</v>
      </c>
      <c r="D902" s="3" t="str">
        <f>"0213000196"</f>
        <v>0213000196</v>
      </c>
      <c r="E902" s="3" t="str">
        <f>"واشر مسي M24"</f>
        <v>واشر مسي M24</v>
      </c>
      <c r="F902" s="3" t="str">
        <f t="shared" ref="F902:F910" si="118">"عدد"</f>
        <v>عدد</v>
      </c>
      <c r="G902" s="3">
        <v>175</v>
      </c>
      <c r="H902" s="5">
        <v>3453600</v>
      </c>
    </row>
    <row r="903" spans="1:8" ht="18.75" x14ac:dyDescent="0.2">
      <c r="A903" s="3" t="str">
        <f t="shared" si="115"/>
        <v>98/11/26</v>
      </c>
      <c r="B903" s="3" t="str">
        <f t="shared" si="116"/>
        <v>كالاهاي مصرفي</v>
      </c>
      <c r="C903" s="3" t="str">
        <f t="shared" si="117"/>
        <v>انبار مصرفي ZU1</v>
      </c>
      <c r="D903" s="3" t="str">
        <f>"0102000052"</f>
        <v>0102000052</v>
      </c>
      <c r="E903" s="3" t="str">
        <f>"رنگ پاك كن"</f>
        <v>رنگ پاك كن</v>
      </c>
      <c r="F903" s="3" t="str">
        <f t="shared" si="118"/>
        <v>عدد</v>
      </c>
      <c r="G903" s="3">
        <v>5</v>
      </c>
      <c r="H903" s="5">
        <v>3500000</v>
      </c>
    </row>
    <row r="904" spans="1:8" ht="18.75" x14ac:dyDescent="0.2">
      <c r="A904" s="3" t="str">
        <f t="shared" si="115"/>
        <v>98/11/26</v>
      </c>
      <c r="B904" s="3" t="str">
        <f t="shared" si="116"/>
        <v>كالاهاي مصرفي</v>
      </c>
      <c r="C904" s="3" t="str">
        <f>"انبار مركزي ( عمومي )"</f>
        <v>انبار مركزي ( عمومي )</v>
      </c>
      <c r="D904" s="3" t="str">
        <f>"0203000037"</f>
        <v>0203000037</v>
      </c>
      <c r="E904" s="3" t="str">
        <f>"آچار هيدرانت آلماني آتش نشاني"</f>
        <v>آچار هيدرانت آلماني آتش نشاني</v>
      </c>
      <c r="F904" s="3" t="str">
        <f t="shared" si="118"/>
        <v>عدد</v>
      </c>
      <c r="G904" s="3">
        <v>10</v>
      </c>
      <c r="H904" s="5">
        <v>3500000</v>
      </c>
    </row>
    <row r="905" spans="1:8" ht="18.75" x14ac:dyDescent="0.2">
      <c r="A905" s="3" t="str">
        <f t="shared" si="115"/>
        <v>98/11/26</v>
      </c>
      <c r="B905" s="3" t="str">
        <f t="shared" si="116"/>
        <v>كالاهاي مصرفي</v>
      </c>
      <c r="C905" s="3" t="str">
        <f>"انبار مصرفي ZU1"</f>
        <v>انبار مصرفي ZU1</v>
      </c>
      <c r="D905" s="3" t="str">
        <f>"0204001949"</f>
        <v>0204001949</v>
      </c>
      <c r="E905" s="3" t="str">
        <f>"واشر آببندي اسپيرال 3.2*150*135"</f>
        <v>واشر آببندي اسپيرال 3.2*150*135</v>
      </c>
      <c r="F905" s="3" t="str">
        <f t="shared" si="118"/>
        <v>عدد</v>
      </c>
      <c r="G905" s="3">
        <v>10</v>
      </c>
      <c r="H905" s="5">
        <v>3500000</v>
      </c>
    </row>
    <row r="906" spans="1:8" ht="18.75" x14ac:dyDescent="0.2">
      <c r="A906" s="3" t="str">
        <f t="shared" si="115"/>
        <v>98/11/26</v>
      </c>
      <c r="B906" s="3" t="str">
        <f t="shared" si="116"/>
        <v>كالاهاي مصرفي</v>
      </c>
      <c r="C906" s="3" t="str">
        <f>"انبار مصرفي ZU1"</f>
        <v>انبار مصرفي ZU1</v>
      </c>
      <c r="D906" s="3" t="str">
        <f>"0206000657"</f>
        <v>0206000657</v>
      </c>
      <c r="E906" s="3" t="str">
        <f>"بست شيلنگي 1/4 اينچ"</f>
        <v>بست شيلنگي 1/4 اينچ</v>
      </c>
      <c r="F906" s="3" t="str">
        <f t="shared" si="118"/>
        <v>عدد</v>
      </c>
      <c r="G906" s="3">
        <v>105</v>
      </c>
      <c r="H906" s="5">
        <v>3503271</v>
      </c>
    </row>
    <row r="907" spans="1:8" ht="18.75" x14ac:dyDescent="0.2">
      <c r="A907" s="3" t="str">
        <f t="shared" si="115"/>
        <v>98/11/26</v>
      </c>
      <c r="B907" s="3" t="str">
        <f t="shared" si="116"/>
        <v>كالاهاي مصرفي</v>
      </c>
      <c r="C907" s="3" t="str">
        <f>"انبار مصرفي ZU1"</f>
        <v>انبار مصرفي ZU1</v>
      </c>
      <c r="D907" s="3" t="str">
        <f>"0213000182"</f>
        <v>0213000182</v>
      </c>
      <c r="E907" s="3" t="str">
        <f>"مهره M18"</f>
        <v>مهره M18</v>
      </c>
      <c r="F907" s="3" t="str">
        <f t="shared" si="118"/>
        <v>عدد</v>
      </c>
      <c r="G907" s="3">
        <v>586</v>
      </c>
      <c r="H907" s="5">
        <v>3506521</v>
      </c>
    </row>
    <row r="908" spans="1:8" ht="18.75" x14ac:dyDescent="0.2">
      <c r="A908" s="3" t="str">
        <f t="shared" si="115"/>
        <v>98/11/26</v>
      </c>
      <c r="B908" s="3" t="str">
        <f t="shared" si="116"/>
        <v>كالاهاي مصرفي</v>
      </c>
      <c r="C908" s="3" t="str">
        <f>"انبار مصرفي ZU1"</f>
        <v>انبار مصرفي ZU1</v>
      </c>
      <c r="D908" s="3" t="str">
        <f>"0204001886"</f>
        <v>0204001886</v>
      </c>
      <c r="E908" s="3" t="str">
        <f>"كاسه نمد Mild Steel 45*60*4 AIA"</f>
        <v>كاسه نمد Mild Steel 45*60*4 AIA</v>
      </c>
      <c r="F908" s="3" t="str">
        <f t="shared" si="118"/>
        <v>عدد</v>
      </c>
      <c r="G908" s="3">
        <v>5</v>
      </c>
      <c r="H908" s="5">
        <v>3530000</v>
      </c>
    </row>
    <row r="909" spans="1:8" ht="18.75" x14ac:dyDescent="0.2">
      <c r="A909" s="3" t="str">
        <f t="shared" si="115"/>
        <v>98/11/26</v>
      </c>
      <c r="B909" s="3" t="str">
        <f t="shared" si="116"/>
        <v>كالاهاي مصرفي</v>
      </c>
      <c r="C909" s="3" t="str">
        <f>"انبار مركزي ( عمومي )"</f>
        <v>انبار مركزي ( عمومي )</v>
      </c>
      <c r="D909" s="3" t="str">
        <f>"0203000043"</f>
        <v>0203000043</v>
      </c>
      <c r="E909" s="3" t="str">
        <f>"گاز انبر نجاري 210 ميل"</f>
        <v>گاز انبر نجاري 210 ميل</v>
      </c>
      <c r="F909" s="3" t="str">
        <f t="shared" si="118"/>
        <v>عدد</v>
      </c>
      <c r="G909" s="3">
        <v>4</v>
      </c>
      <c r="H909" s="5">
        <v>3540000</v>
      </c>
    </row>
    <row r="910" spans="1:8" ht="18.75" x14ac:dyDescent="0.2">
      <c r="A910" s="3" t="str">
        <f t="shared" si="115"/>
        <v>98/11/26</v>
      </c>
      <c r="B910" s="3" t="str">
        <f t="shared" si="116"/>
        <v>كالاهاي مصرفي</v>
      </c>
      <c r="C910" s="3" t="str">
        <f t="shared" ref="C910:C918" si="119">"انبار مصرفي ZU1"</f>
        <v>انبار مصرفي ZU1</v>
      </c>
      <c r="D910" s="3" t="str">
        <f>"0204001319"</f>
        <v>0204001319</v>
      </c>
      <c r="E910" s="3" t="str">
        <f>"اورينگ HNBR 248*4"</f>
        <v>اورينگ HNBR 248*4</v>
      </c>
      <c r="F910" s="3" t="str">
        <f t="shared" si="118"/>
        <v>عدد</v>
      </c>
      <c r="G910" s="3">
        <v>8</v>
      </c>
      <c r="H910" s="5">
        <v>3544000</v>
      </c>
    </row>
    <row r="911" spans="1:8" ht="18.75" x14ac:dyDescent="0.2">
      <c r="A911" s="3" t="str">
        <f t="shared" si="115"/>
        <v>98/11/26</v>
      </c>
      <c r="B911" s="3" t="str">
        <f t="shared" si="116"/>
        <v>كالاهاي مصرفي</v>
      </c>
      <c r="C911" s="3" t="str">
        <f t="shared" si="119"/>
        <v>انبار مصرفي ZU1</v>
      </c>
      <c r="D911" s="3" t="str">
        <f>"0103000073"</f>
        <v>0103000073</v>
      </c>
      <c r="E911" s="3" t="str">
        <f>"ماده شيميايي KP 105 (رسوب زدايي)"</f>
        <v>ماده شيميايي KP 105 (رسوب زدايي)</v>
      </c>
      <c r="F911" s="3" t="str">
        <f>"ليتر"</f>
        <v>ليتر</v>
      </c>
      <c r="G911" s="3">
        <v>180</v>
      </c>
      <c r="H911" s="5">
        <v>3546000</v>
      </c>
    </row>
    <row r="912" spans="1:8" ht="18.75" x14ac:dyDescent="0.2">
      <c r="A912" s="3" t="str">
        <f t="shared" si="115"/>
        <v>98/11/26</v>
      </c>
      <c r="B912" s="3" t="str">
        <f t="shared" si="116"/>
        <v>كالاهاي مصرفي</v>
      </c>
      <c r="C912" s="3" t="str">
        <f t="shared" si="119"/>
        <v>انبار مصرفي ZU1</v>
      </c>
      <c r="D912" s="3" t="str">
        <f>"0206000517"</f>
        <v>0206000517</v>
      </c>
      <c r="E912" s="3" t="str">
        <f>"زانو پلي اتيلن 90*315 - 16 بار- پي 100"</f>
        <v>زانو پلي اتيلن 90*315 - 16 بار- پي 100</v>
      </c>
      <c r="F912" s="3" t="str">
        <f>"عدد"</f>
        <v>عدد</v>
      </c>
      <c r="G912" s="3">
        <v>1</v>
      </c>
      <c r="H912" s="5">
        <v>3550000</v>
      </c>
    </row>
    <row r="913" spans="1:8" ht="18.75" x14ac:dyDescent="0.2">
      <c r="A913" s="3" t="str">
        <f t="shared" si="115"/>
        <v>98/11/26</v>
      </c>
      <c r="B913" s="3" t="str">
        <f t="shared" si="116"/>
        <v>كالاهاي مصرفي</v>
      </c>
      <c r="C913" s="3" t="str">
        <f t="shared" si="119"/>
        <v>انبار مصرفي ZU1</v>
      </c>
      <c r="D913" s="3" t="str">
        <f>"0204001335"</f>
        <v>0204001335</v>
      </c>
      <c r="E913" s="3" t="str">
        <f>"اورينگ HNBR 235*4.0"</f>
        <v>اورينگ HNBR 235*4.0</v>
      </c>
      <c r="F913" s="3" t="str">
        <f>"عدد"</f>
        <v>عدد</v>
      </c>
      <c r="G913" s="3">
        <v>9</v>
      </c>
      <c r="H913" s="5">
        <v>3564000</v>
      </c>
    </row>
    <row r="914" spans="1:8" ht="18.75" x14ac:dyDescent="0.2">
      <c r="A914" s="3" t="str">
        <f t="shared" si="115"/>
        <v>98/11/26</v>
      </c>
      <c r="B914" s="3" t="str">
        <f t="shared" si="116"/>
        <v>كالاهاي مصرفي</v>
      </c>
      <c r="C914" s="3" t="str">
        <f t="shared" si="119"/>
        <v>انبار مصرفي ZU1</v>
      </c>
      <c r="D914" s="3" t="str">
        <f>"0213000139"</f>
        <v>0213000139</v>
      </c>
      <c r="E914" s="3" t="str">
        <f>"پيچ M12*40"</f>
        <v>پيچ M12*40</v>
      </c>
      <c r="F914" s="3" t="str">
        <f>"عدد"</f>
        <v>عدد</v>
      </c>
      <c r="G914" s="3">
        <v>529</v>
      </c>
      <c r="H914" s="5">
        <v>3570750</v>
      </c>
    </row>
    <row r="915" spans="1:8" ht="18.75" x14ac:dyDescent="0.2">
      <c r="A915" s="3" t="str">
        <f t="shared" si="115"/>
        <v>98/11/26</v>
      </c>
      <c r="B915" s="3" t="str">
        <f t="shared" si="116"/>
        <v>كالاهاي مصرفي</v>
      </c>
      <c r="C915" s="3" t="str">
        <f t="shared" si="119"/>
        <v>انبار مصرفي ZU1</v>
      </c>
      <c r="D915" s="3" t="str">
        <f>"0204001512"</f>
        <v>0204001512</v>
      </c>
      <c r="E915" s="3" t="str">
        <f>"بيرينگ( SY 35(TF"</f>
        <v>بيرينگ( SY 35(TF</v>
      </c>
      <c r="F915" s="3" t="str">
        <f>"عدد"</f>
        <v>عدد</v>
      </c>
      <c r="G915" s="3">
        <v>4</v>
      </c>
      <c r="H915" s="5">
        <v>3580000</v>
      </c>
    </row>
    <row r="916" spans="1:8" ht="18.75" x14ac:dyDescent="0.2">
      <c r="A916" s="3" t="str">
        <f t="shared" si="115"/>
        <v>98/11/26</v>
      </c>
      <c r="B916" s="3" t="str">
        <f t="shared" si="116"/>
        <v>كالاهاي مصرفي</v>
      </c>
      <c r="C916" s="3" t="str">
        <f t="shared" si="119"/>
        <v>انبار مصرفي ZU1</v>
      </c>
      <c r="D916" s="3" t="str">
        <f>"0204000294"</f>
        <v>0204000294</v>
      </c>
      <c r="E916" s="3" t="str">
        <f>"كاسه نمد  10*90*70"</f>
        <v>كاسه نمد  10*90*70</v>
      </c>
      <c r="F916" s="3" t="str">
        <f>"عدد"</f>
        <v>عدد</v>
      </c>
      <c r="G916" s="3">
        <v>6</v>
      </c>
      <c r="H916" s="5">
        <v>3585682</v>
      </c>
    </row>
    <row r="917" spans="1:8" ht="18.75" x14ac:dyDescent="0.2">
      <c r="A917" s="3" t="str">
        <f t="shared" si="115"/>
        <v>98/11/26</v>
      </c>
      <c r="B917" s="3" t="str">
        <f t="shared" si="116"/>
        <v>كالاهاي مصرفي</v>
      </c>
      <c r="C917" s="3" t="str">
        <f t="shared" si="119"/>
        <v>انبار مصرفي ZU1</v>
      </c>
      <c r="D917" s="3" t="str">
        <f>"0103000214"</f>
        <v>0103000214</v>
      </c>
      <c r="E917" s="3" t="str">
        <f>"اسيد فسفريك"</f>
        <v>اسيد فسفريك</v>
      </c>
      <c r="F917" s="3" t="str">
        <f>"کيلوگرم"</f>
        <v>کيلوگرم</v>
      </c>
      <c r="G917" s="3">
        <v>20</v>
      </c>
      <c r="H917" s="5">
        <v>3600000</v>
      </c>
    </row>
    <row r="918" spans="1:8" ht="18.75" x14ac:dyDescent="0.2">
      <c r="A918" s="3" t="str">
        <f t="shared" si="115"/>
        <v>98/11/26</v>
      </c>
      <c r="B918" s="3" t="str">
        <f t="shared" si="116"/>
        <v>كالاهاي مصرفي</v>
      </c>
      <c r="C918" s="3" t="str">
        <f t="shared" si="119"/>
        <v>انبار مصرفي ZU1</v>
      </c>
      <c r="D918" s="3" t="str">
        <f>"0202000273"</f>
        <v>0202000273</v>
      </c>
      <c r="E918" s="3" t="str">
        <f>"فيلتر DCL 163  ( اينچ 3/8)"</f>
        <v>فيلتر DCL 163  ( اينچ 3/8)</v>
      </c>
      <c r="F918" s="3" t="str">
        <f>"عدد"</f>
        <v>عدد</v>
      </c>
      <c r="G918" s="3">
        <v>6</v>
      </c>
      <c r="H918" s="5">
        <v>3600000</v>
      </c>
    </row>
    <row r="919" spans="1:8" ht="18.75" x14ac:dyDescent="0.2">
      <c r="A919" s="3" t="str">
        <f t="shared" si="115"/>
        <v>98/11/26</v>
      </c>
      <c r="B919" s="3" t="str">
        <f t="shared" si="116"/>
        <v>كالاهاي مصرفي</v>
      </c>
      <c r="C919" s="3" t="str">
        <f>"انبار مركزي ( عمومي )"</f>
        <v>انبار مركزي ( عمومي )</v>
      </c>
      <c r="D919" s="3" t="str">
        <f>"0203000274"</f>
        <v>0203000274</v>
      </c>
      <c r="E919" s="3" t="str">
        <f>"آچار يكسر رينگ و يكسر تخت 32"</f>
        <v>آچار يكسر رينگ و يكسر تخت 32</v>
      </c>
      <c r="F919" s="3" t="str">
        <f>"عدد"</f>
        <v>عدد</v>
      </c>
      <c r="G919" s="3">
        <v>5</v>
      </c>
      <c r="H919" s="5">
        <v>3600000</v>
      </c>
    </row>
    <row r="920" spans="1:8" ht="18.75" x14ac:dyDescent="0.2">
      <c r="A920" s="3" t="str">
        <f t="shared" si="115"/>
        <v>98/11/26</v>
      </c>
      <c r="B920" s="3" t="str">
        <f t="shared" si="116"/>
        <v>كالاهاي مصرفي</v>
      </c>
      <c r="C920" s="3" t="str">
        <f>"انبار مصرفي ZU1"</f>
        <v>انبار مصرفي ZU1</v>
      </c>
      <c r="D920" s="3" t="str">
        <f>"0204000083"</f>
        <v>0204000083</v>
      </c>
      <c r="E920" s="3" t="str">
        <f>"بيرينگ 2Z/C3-6309"</f>
        <v>بيرينگ 2Z/C3-6309</v>
      </c>
      <c r="F920" s="3" t="str">
        <f>"عدد"</f>
        <v>عدد</v>
      </c>
      <c r="G920" s="3">
        <v>2</v>
      </c>
      <c r="H920" s="5">
        <v>3600000</v>
      </c>
    </row>
    <row r="921" spans="1:8" ht="18.75" x14ac:dyDescent="0.2">
      <c r="A921" s="3" t="str">
        <f t="shared" si="115"/>
        <v>98/11/26</v>
      </c>
      <c r="B921" s="3" t="str">
        <f t="shared" si="116"/>
        <v>كالاهاي مصرفي</v>
      </c>
      <c r="C921" s="3" t="str">
        <f>"انبار مصرفي ZU1"</f>
        <v>انبار مصرفي ZU1</v>
      </c>
      <c r="D921" s="3" t="str">
        <f>"0204000110"</f>
        <v>0204000110</v>
      </c>
      <c r="E921" s="3" t="str">
        <f>"تسمه پروانه XPA1180"</f>
        <v>تسمه پروانه XPA1180</v>
      </c>
      <c r="F921" s="3" t="str">
        <f>"حلقه"</f>
        <v>حلقه</v>
      </c>
      <c r="G921" s="3">
        <v>15</v>
      </c>
      <c r="H921" s="5">
        <v>3600000</v>
      </c>
    </row>
    <row r="922" spans="1:8" ht="18.75" x14ac:dyDescent="0.2">
      <c r="A922" s="3" t="str">
        <f t="shared" si="115"/>
        <v>98/11/26</v>
      </c>
      <c r="B922" s="3" t="str">
        <f t="shared" si="116"/>
        <v>كالاهاي مصرفي</v>
      </c>
      <c r="C922" s="3" t="str">
        <f>"انبار مصرفي ZU1"</f>
        <v>انبار مصرفي ZU1</v>
      </c>
      <c r="D922" s="3" t="str">
        <f>"0209000421"</f>
        <v>0209000421</v>
      </c>
      <c r="E922" s="3" t="str">
        <f>"رينگ جوينت گسكت كلاس 1500 سايز 1/2-1 اينچ"</f>
        <v>رينگ جوينت گسكت كلاس 1500 سايز 1/2-1 اينچ</v>
      </c>
      <c r="F922" s="3" t="str">
        <f>"عدد"</f>
        <v>عدد</v>
      </c>
      <c r="G922" s="3">
        <v>1</v>
      </c>
      <c r="H922" s="5">
        <v>3600000</v>
      </c>
    </row>
    <row r="923" spans="1:8" ht="18.75" x14ac:dyDescent="0.2">
      <c r="A923" s="3" t="str">
        <f t="shared" si="115"/>
        <v>98/11/26</v>
      </c>
      <c r="B923" s="3" t="str">
        <f t="shared" si="116"/>
        <v>كالاهاي مصرفي</v>
      </c>
      <c r="C923" s="3" t="str">
        <f>"انبار مصرفي ZU1"</f>
        <v>انبار مصرفي ZU1</v>
      </c>
      <c r="D923" s="3" t="str">
        <f>"0211000343"</f>
        <v>0211000343</v>
      </c>
      <c r="E923" s="3" t="str">
        <f>"سيم جوش آرگون نمره 10"</f>
        <v>سيم جوش آرگون نمره 10</v>
      </c>
      <c r="F923" s="3" t="str">
        <f>"بسته"</f>
        <v>بسته</v>
      </c>
      <c r="G923" s="3">
        <v>3</v>
      </c>
      <c r="H923" s="5">
        <v>3600000</v>
      </c>
    </row>
    <row r="924" spans="1:8" ht="18.75" x14ac:dyDescent="0.2">
      <c r="A924" s="3" t="str">
        <f t="shared" si="115"/>
        <v>98/11/26</v>
      </c>
      <c r="B924" s="3" t="str">
        <f t="shared" si="116"/>
        <v>كالاهاي مصرفي</v>
      </c>
      <c r="C924" s="3" t="str">
        <f>"انبار مركزي ( عمومي )"</f>
        <v>انبار مركزي ( عمومي )</v>
      </c>
      <c r="D924" s="3" t="str">
        <f>"0211000697"</f>
        <v>0211000697</v>
      </c>
      <c r="E924" s="3" t="str">
        <f>"ليسه نقاشي"</f>
        <v>ليسه نقاشي</v>
      </c>
      <c r="F924" s="3" t="str">
        <f t="shared" ref="F924:F930" si="120">"عدد"</f>
        <v>عدد</v>
      </c>
      <c r="G924" s="3">
        <v>30</v>
      </c>
      <c r="H924" s="5">
        <v>3600000</v>
      </c>
    </row>
    <row r="925" spans="1:8" ht="18.75" x14ac:dyDescent="0.2">
      <c r="A925" s="3" t="str">
        <f t="shared" si="115"/>
        <v>98/11/26</v>
      </c>
      <c r="B925" s="3" t="str">
        <f t="shared" si="116"/>
        <v>كالاهاي مصرفي</v>
      </c>
      <c r="C925" s="3" t="str">
        <f>"انبار مركزي ( عمومي )"</f>
        <v>انبار مركزي ( عمومي )</v>
      </c>
      <c r="D925" s="3" t="str">
        <f>"0211001078"</f>
        <v>0211001078</v>
      </c>
      <c r="E925" s="3" t="str">
        <f>"لولا سه  تكه اي"</f>
        <v>لولا سه  تكه اي</v>
      </c>
      <c r="F925" s="3" t="str">
        <f t="shared" si="120"/>
        <v>عدد</v>
      </c>
      <c r="G925" s="3">
        <v>36</v>
      </c>
      <c r="H925" s="5">
        <v>3600000</v>
      </c>
    </row>
    <row r="926" spans="1:8" ht="18.75" x14ac:dyDescent="0.2">
      <c r="A926" s="3" t="str">
        <f t="shared" si="115"/>
        <v>98/11/26</v>
      </c>
      <c r="B926" s="3" t="str">
        <f t="shared" si="116"/>
        <v>كالاهاي مصرفي</v>
      </c>
      <c r="C926" s="3" t="str">
        <f>"انبار مركزي ( عمومي )"</f>
        <v>انبار مركزي ( عمومي )</v>
      </c>
      <c r="D926" s="3" t="str">
        <f>"0213000734"</f>
        <v>0213000734</v>
      </c>
      <c r="E926" s="3" t="str">
        <f>"جاكليدي 34 عددي درب دار فلزي"</f>
        <v>جاكليدي 34 عددي درب دار فلزي</v>
      </c>
      <c r="F926" s="3" t="str">
        <f t="shared" si="120"/>
        <v>عدد</v>
      </c>
      <c r="G926" s="3">
        <v>4</v>
      </c>
      <c r="H926" s="5">
        <v>3600000</v>
      </c>
    </row>
    <row r="927" spans="1:8" ht="18.75" x14ac:dyDescent="0.2">
      <c r="A927" s="3" t="str">
        <f t="shared" si="115"/>
        <v>98/11/26</v>
      </c>
      <c r="B927" s="3" t="str">
        <f t="shared" si="116"/>
        <v>كالاهاي مصرفي</v>
      </c>
      <c r="C927" s="3" t="str">
        <f>"انبار مركزي ( عمومي )"</f>
        <v>انبار مركزي ( عمومي )</v>
      </c>
      <c r="D927" s="3" t="str">
        <f>"0203000030"</f>
        <v>0203000030</v>
      </c>
      <c r="E927" s="3" t="str">
        <f>"آچار يكسر رينگ و يكسر تخت 14"</f>
        <v>آچار يكسر رينگ و يكسر تخت 14</v>
      </c>
      <c r="F927" s="3" t="str">
        <f t="shared" si="120"/>
        <v>عدد</v>
      </c>
      <c r="G927" s="3">
        <v>21</v>
      </c>
      <c r="H927" s="5">
        <v>3608182</v>
      </c>
    </row>
    <row r="928" spans="1:8" ht="18.75" x14ac:dyDescent="0.2">
      <c r="A928" s="3" t="str">
        <f t="shared" si="115"/>
        <v>98/11/26</v>
      </c>
      <c r="B928" s="3" t="str">
        <f t="shared" si="116"/>
        <v>كالاهاي مصرفي</v>
      </c>
      <c r="C928" s="3" t="str">
        <f>"انبار مصرفي ZU1"</f>
        <v>انبار مصرفي ZU1</v>
      </c>
      <c r="D928" s="3" t="str">
        <f>"0211001355"</f>
        <v>0211001355</v>
      </c>
      <c r="E928" s="3" t="str">
        <f>"سايد گلاس ژنراتور سايز 160*16 ميليمتر"</f>
        <v>سايد گلاس ژنراتور سايز 160*16 ميليمتر</v>
      </c>
      <c r="F928" s="3" t="str">
        <f t="shared" si="120"/>
        <v>عدد</v>
      </c>
      <c r="G928" s="3">
        <v>2</v>
      </c>
      <c r="H928" s="5">
        <v>3640000</v>
      </c>
    </row>
    <row r="929" spans="1:8" ht="18.75" x14ac:dyDescent="0.2">
      <c r="A929" s="3" t="str">
        <f t="shared" si="115"/>
        <v>98/11/26</v>
      </c>
      <c r="B929" s="3" t="str">
        <f t="shared" si="116"/>
        <v>كالاهاي مصرفي</v>
      </c>
      <c r="C929" s="3" t="str">
        <f>"انبار مركزي ( عمومي )"</f>
        <v>انبار مركزي ( عمومي )</v>
      </c>
      <c r="D929" s="3" t="str">
        <f>"0211001943"</f>
        <v>0211001943</v>
      </c>
      <c r="E929" s="3" t="str">
        <f>"مفصل کوچک انگشتي مسي سايز 10"</f>
        <v>مفصل کوچک انگشتي مسي سايز 10</v>
      </c>
      <c r="F929" s="3" t="str">
        <f t="shared" si="120"/>
        <v>عدد</v>
      </c>
      <c r="G929" s="3">
        <v>200</v>
      </c>
      <c r="H929" s="5">
        <v>3640000</v>
      </c>
    </row>
    <row r="930" spans="1:8" ht="18.75" x14ac:dyDescent="0.2">
      <c r="A930" s="3" t="str">
        <f t="shared" si="115"/>
        <v>98/11/26</v>
      </c>
      <c r="B930" s="3" t="str">
        <f t="shared" si="116"/>
        <v>كالاهاي مصرفي</v>
      </c>
      <c r="C930" s="3" t="str">
        <f>"انبار مصرفي ZU1"</f>
        <v>انبار مصرفي ZU1</v>
      </c>
      <c r="D930" s="3" t="str">
        <f>"0211001716"</f>
        <v>0211001716</v>
      </c>
      <c r="E930" s="3" t="str">
        <f>"شيم پليت ضخامت 0/05 به ابعاد 125 *125"</f>
        <v>شيم پليت ضخامت 0/05 به ابعاد 125 *125</v>
      </c>
      <c r="F930" s="3" t="str">
        <f t="shared" si="120"/>
        <v>عدد</v>
      </c>
      <c r="G930" s="3">
        <v>24</v>
      </c>
      <c r="H930" s="5">
        <v>3648000</v>
      </c>
    </row>
    <row r="931" spans="1:8" ht="18.75" x14ac:dyDescent="0.2">
      <c r="A931" s="3" t="str">
        <f t="shared" si="115"/>
        <v>98/11/26</v>
      </c>
      <c r="B931" s="3" t="str">
        <f t="shared" si="116"/>
        <v>كالاهاي مصرفي</v>
      </c>
      <c r="C931" s="3" t="str">
        <f>"انبار مصرفي ZU1"</f>
        <v>انبار مصرفي ZU1</v>
      </c>
      <c r="D931" s="3" t="str">
        <f>"0102000168"</f>
        <v>0102000168</v>
      </c>
      <c r="E931" s="3" t="str">
        <f>"رويه پلي اورتان با هاردنر رال 5017"</f>
        <v>رويه پلي اورتان با هاردنر رال 5017</v>
      </c>
      <c r="F931" s="3" t="str">
        <f>"کيلوگرم"</f>
        <v>کيلوگرم</v>
      </c>
      <c r="G931" s="3">
        <v>10</v>
      </c>
      <c r="H931" s="5">
        <v>3650000</v>
      </c>
    </row>
    <row r="932" spans="1:8" ht="18.75" x14ac:dyDescent="0.2">
      <c r="A932" s="3" t="str">
        <f t="shared" si="115"/>
        <v>98/11/26</v>
      </c>
      <c r="B932" s="3" t="str">
        <f t="shared" si="116"/>
        <v>كالاهاي مصرفي</v>
      </c>
      <c r="C932" s="3" t="str">
        <f>"انبار مركزي ( عمومي )"</f>
        <v>انبار مركزي ( عمومي )</v>
      </c>
      <c r="D932" s="3" t="str">
        <f>"0203000116"</f>
        <v>0203000116</v>
      </c>
      <c r="E932" s="3" t="str">
        <f>"آچار ال ستاره اي"</f>
        <v>آچار ال ستاره اي</v>
      </c>
      <c r="F932" s="3" t="str">
        <f>"دست"</f>
        <v>دست</v>
      </c>
      <c r="G932" s="3">
        <v>8</v>
      </c>
      <c r="H932" s="5">
        <v>3662338</v>
      </c>
    </row>
    <row r="933" spans="1:8" ht="18.75" x14ac:dyDescent="0.2">
      <c r="A933" s="3" t="str">
        <f t="shared" si="115"/>
        <v>98/11/26</v>
      </c>
      <c r="B933" s="3" t="str">
        <f t="shared" si="116"/>
        <v>كالاهاي مصرفي</v>
      </c>
      <c r="C933" s="3" t="str">
        <f>"انبار مصرفي ZU1"</f>
        <v>انبار مصرفي ZU1</v>
      </c>
      <c r="D933" s="3" t="str">
        <f>"0204000815"</f>
        <v>0204000815</v>
      </c>
      <c r="E933" s="3" t="str">
        <f>"بيرينگ -626"</f>
        <v>بيرينگ -626</v>
      </c>
      <c r="F933" s="3" t="str">
        <f t="shared" ref="F933:F945" si="121">"عدد"</f>
        <v>عدد</v>
      </c>
      <c r="G933" s="3">
        <v>40</v>
      </c>
      <c r="H933" s="5">
        <v>3680000</v>
      </c>
    </row>
    <row r="934" spans="1:8" ht="18.75" x14ac:dyDescent="0.2">
      <c r="A934" s="3" t="str">
        <f t="shared" si="115"/>
        <v>98/11/26</v>
      </c>
      <c r="B934" s="3" t="str">
        <f t="shared" si="116"/>
        <v>كالاهاي مصرفي</v>
      </c>
      <c r="C934" s="3" t="str">
        <f>"انبار مركزي ( عمومي )"</f>
        <v>انبار مركزي ( عمومي )</v>
      </c>
      <c r="D934" s="3" t="str">
        <f>"0303000010"</f>
        <v>0303000010</v>
      </c>
      <c r="E934" s="3" t="str">
        <f>"كنترل فاز"</f>
        <v>كنترل فاز</v>
      </c>
      <c r="F934" s="3" t="str">
        <f t="shared" si="121"/>
        <v>عدد</v>
      </c>
      <c r="G934" s="3">
        <v>3</v>
      </c>
      <c r="H934" s="5">
        <v>3680367</v>
      </c>
    </row>
    <row r="935" spans="1:8" ht="18.75" x14ac:dyDescent="0.2">
      <c r="A935" s="3" t="str">
        <f t="shared" si="115"/>
        <v>98/11/26</v>
      </c>
      <c r="B935" s="3" t="str">
        <f t="shared" si="116"/>
        <v>كالاهاي مصرفي</v>
      </c>
      <c r="C935" s="3" t="str">
        <f>"انبار مصرفي ZU1"</f>
        <v>انبار مصرفي ZU1</v>
      </c>
      <c r="D935" s="3" t="str">
        <f>"0204000297"</f>
        <v>0204000297</v>
      </c>
      <c r="E935" s="3" t="str">
        <f>"كاسه نمد 10*100*75"</f>
        <v>كاسه نمد 10*100*75</v>
      </c>
      <c r="F935" s="3" t="str">
        <f t="shared" si="121"/>
        <v>عدد</v>
      </c>
      <c r="G935" s="3">
        <v>18</v>
      </c>
      <c r="H935" s="5">
        <v>3685714</v>
      </c>
    </row>
    <row r="936" spans="1:8" ht="18.75" x14ac:dyDescent="0.2">
      <c r="A936" s="3" t="str">
        <f t="shared" si="115"/>
        <v>98/11/26</v>
      </c>
      <c r="B936" s="3" t="str">
        <f t="shared" si="116"/>
        <v>كالاهاي مصرفي</v>
      </c>
      <c r="C936" s="3" t="str">
        <f>"انبار مصرفي ZU1"</f>
        <v>انبار مصرفي ZU1</v>
      </c>
      <c r="D936" s="3" t="str">
        <f>"0204001309"</f>
        <v>0204001309</v>
      </c>
      <c r="E936" s="3" t="str">
        <f>"اورينگ HNBR 230*5.8"</f>
        <v>اورينگ HNBR 230*5.8</v>
      </c>
      <c r="F936" s="3" t="str">
        <f t="shared" si="121"/>
        <v>عدد</v>
      </c>
      <c r="G936" s="3">
        <v>9</v>
      </c>
      <c r="H936" s="5">
        <v>3690000</v>
      </c>
    </row>
    <row r="937" spans="1:8" ht="18.75" x14ac:dyDescent="0.2">
      <c r="A937" s="3" t="str">
        <f t="shared" si="115"/>
        <v>98/11/26</v>
      </c>
      <c r="B937" s="3" t="str">
        <f t="shared" si="116"/>
        <v>كالاهاي مصرفي</v>
      </c>
      <c r="C937" s="3" t="str">
        <f>"انبار مصرفي ZU1"</f>
        <v>انبار مصرفي ZU1</v>
      </c>
      <c r="D937" s="3" t="str">
        <f>"0213000184"</f>
        <v>0213000184</v>
      </c>
      <c r="E937" s="3" t="str">
        <f>"مهره M22"</f>
        <v>مهره M22</v>
      </c>
      <c r="F937" s="3" t="str">
        <f t="shared" si="121"/>
        <v>عدد</v>
      </c>
      <c r="G937" s="3">
        <v>395</v>
      </c>
      <c r="H937" s="5">
        <v>3695643</v>
      </c>
    </row>
    <row r="938" spans="1:8" ht="18.75" x14ac:dyDescent="0.2">
      <c r="A938" s="3" t="str">
        <f t="shared" si="115"/>
        <v>98/11/26</v>
      </c>
      <c r="B938" s="3" t="str">
        <f t="shared" si="116"/>
        <v>كالاهاي مصرفي</v>
      </c>
      <c r="C938" s="3" t="str">
        <f>"انبار مصرفي ZU1"</f>
        <v>انبار مصرفي ZU1</v>
      </c>
      <c r="D938" s="3" t="str">
        <f>"0203000130"</f>
        <v>0203000130</v>
      </c>
      <c r="E938" s="3" t="str">
        <f>"آچارفرانسه 6 اينچ (180mm )"</f>
        <v>آچارفرانسه 6 اينچ (180mm )</v>
      </c>
      <c r="F938" s="3" t="str">
        <f t="shared" si="121"/>
        <v>عدد</v>
      </c>
      <c r="G938" s="3">
        <v>12</v>
      </c>
      <c r="H938" s="5">
        <v>3701299</v>
      </c>
    </row>
    <row r="939" spans="1:8" ht="18.75" x14ac:dyDescent="0.2">
      <c r="A939" s="3" t="str">
        <f t="shared" si="115"/>
        <v>98/11/26</v>
      </c>
      <c r="B939" s="3" t="str">
        <f t="shared" si="116"/>
        <v>كالاهاي مصرفي</v>
      </c>
      <c r="C939" s="3" t="str">
        <f>"انبار مركزي ( عمومي )"</f>
        <v>انبار مركزي ( عمومي )</v>
      </c>
      <c r="D939" s="3" t="str">
        <f>"0906000056"</f>
        <v>0906000056</v>
      </c>
      <c r="E939" s="3" t="str">
        <f>"كابل شبكه ( پچ كورد ) پنج متري Cat6"</f>
        <v>كابل شبكه ( پچ كورد ) پنج متري Cat6</v>
      </c>
      <c r="F939" s="3" t="str">
        <f t="shared" si="121"/>
        <v>عدد</v>
      </c>
      <c r="G939" s="3">
        <v>7</v>
      </c>
      <c r="H939" s="5">
        <v>3710000</v>
      </c>
    </row>
    <row r="940" spans="1:8" ht="18.75" x14ac:dyDescent="0.2">
      <c r="A940" s="3" t="str">
        <f t="shared" si="115"/>
        <v>98/11/26</v>
      </c>
      <c r="B940" s="3" t="str">
        <f t="shared" si="116"/>
        <v>كالاهاي مصرفي</v>
      </c>
      <c r="C940" s="3" t="str">
        <f t="shared" ref="C940:C945" si="122">"انبار مصرفي ZU1"</f>
        <v>انبار مصرفي ZU1</v>
      </c>
      <c r="D940" s="3" t="str">
        <f>"0213000158"</f>
        <v>0213000158</v>
      </c>
      <c r="E940" s="3" t="str">
        <f>"پيچ دو سر رزوه M14*80"</f>
        <v>پيچ دو سر رزوه M14*80</v>
      </c>
      <c r="F940" s="3" t="str">
        <f t="shared" si="121"/>
        <v>عدد</v>
      </c>
      <c r="G940" s="3">
        <v>400</v>
      </c>
      <c r="H940" s="5">
        <v>3720000</v>
      </c>
    </row>
    <row r="941" spans="1:8" ht="18.75" x14ac:dyDescent="0.2">
      <c r="A941" s="3" t="str">
        <f t="shared" si="115"/>
        <v>98/11/26</v>
      </c>
      <c r="B941" s="3" t="str">
        <f t="shared" si="116"/>
        <v>كالاهاي مصرفي</v>
      </c>
      <c r="C941" s="3" t="str">
        <f t="shared" si="122"/>
        <v>انبار مصرفي ZU1</v>
      </c>
      <c r="D941" s="3" t="str">
        <f>"0204001382"</f>
        <v>0204001382</v>
      </c>
      <c r="E941" s="3" t="str">
        <f>"اورينگ HNBR 86*3.5"</f>
        <v>اورينگ HNBR 86*3.5</v>
      </c>
      <c r="F941" s="3" t="str">
        <f t="shared" si="121"/>
        <v>عدد</v>
      </c>
      <c r="G941" s="3">
        <v>16</v>
      </c>
      <c r="H941" s="5">
        <v>3728000</v>
      </c>
    </row>
    <row r="942" spans="1:8" ht="18.75" x14ac:dyDescent="0.2">
      <c r="A942" s="3" t="str">
        <f t="shared" si="115"/>
        <v>98/11/26</v>
      </c>
      <c r="B942" s="3" t="str">
        <f t="shared" si="116"/>
        <v>كالاهاي مصرفي</v>
      </c>
      <c r="C942" s="3" t="str">
        <f t="shared" si="122"/>
        <v>انبار مصرفي ZU1</v>
      </c>
      <c r="D942" s="3" t="str">
        <f>"0204001396"</f>
        <v>0204001396</v>
      </c>
      <c r="E942" s="3" t="str">
        <f>"اورينگ HNBR 66*5"</f>
        <v>اورينگ HNBR 66*5</v>
      </c>
      <c r="F942" s="3" t="str">
        <f t="shared" si="121"/>
        <v>عدد</v>
      </c>
      <c r="G942" s="3">
        <v>20</v>
      </c>
      <c r="H942" s="5">
        <v>3740000</v>
      </c>
    </row>
    <row r="943" spans="1:8" ht="18.75" x14ac:dyDescent="0.2">
      <c r="A943" s="3" t="str">
        <f t="shared" si="115"/>
        <v>98/11/26</v>
      </c>
      <c r="B943" s="3" t="str">
        <f t="shared" si="116"/>
        <v>كالاهاي مصرفي</v>
      </c>
      <c r="C943" s="3" t="str">
        <f t="shared" si="122"/>
        <v>انبار مصرفي ZU1</v>
      </c>
      <c r="D943" s="3" t="str">
        <f>"0204001399"</f>
        <v>0204001399</v>
      </c>
      <c r="E943" s="3" t="str">
        <f>"بيرينگ 16022 C2"</f>
        <v>بيرينگ 16022 C2</v>
      </c>
      <c r="F943" s="3" t="str">
        <f t="shared" si="121"/>
        <v>عدد</v>
      </c>
      <c r="G943" s="3">
        <v>2</v>
      </c>
      <c r="H943" s="5">
        <v>3740000</v>
      </c>
    </row>
    <row r="944" spans="1:8" ht="18.75" x14ac:dyDescent="0.2">
      <c r="A944" s="3" t="str">
        <f t="shared" si="115"/>
        <v>98/11/26</v>
      </c>
      <c r="B944" s="3" t="str">
        <f t="shared" si="116"/>
        <v>كالاهاي مصرفي</v>
      </c>
      <c r="C944" s="3" t="str">
        <f t="shared" si="122"/>
        <v>انبار مصرفي ZU1</v>
      </c>
      <c r="D944" s="3" t="str">
        <f>"0203000141"</f>
        <v>0203000141</v>
      </c>
      <c r="E944" s="3" t="str">
        <f>"انبر پرس سر سيم"</f>
        <v>انبر پرس سر سيم</v>
      </c>
      <c r="F944" s="3" t="str">
        <f t="shared" si="121"/>
        <v>عدد</v>
      </c>
      <c r="G944" s="3">
        <v>5</v>
      </c>
      <c r="H944" s="5">
        <v>3750000</v>
      </c>
    </row>
    <row r="945" spans="1:8" ht="18.75" x14ac:dyDescent="0.2">
      <c r="A945" s="3" t="str">
        <f t="shared" si="115"/>
        <v>98/11/26</v>
      </c>
      <c r="B945" s="3" t="str">
        <f t="shared" si="116"/>
        <v>كالاهاي مصرفي</v>
      </c>
      <c r="C945" s="3" t="str">
        <f t="shared" si="122"/>
        <v>انبار مصرفي ZU1</v>
      </c>
      <c r="D945" s="3" t="str">
        <f>"0204001090"</f>
        <v>0204001090</v>
      </c>
      <c r="E945" s="3" t="str">
        <f>"واشر پلي اورتان 2.5*3.16*8.84"</f>
        <v>واشر پلي اورتان 2.5*3.16*8.84</v>
      </c>
      <c r="F945" s="3" t="str">
        <f t="shared" si="121"/>
        <v>عدد</v>
      </c>
      <c r="G945" s="3">
        <v>250</v>
      </c>
      <c r="H945" s="5">
        <v>3750000</v>
      </c>
    </row>
    <row r="946" spans="1:8" ht="18.75" x14ac:dyDescent="0.2">
      <c r="A946" s="3" t="str">
        <f t="shared" si="115"/>
        <v>98/11/26</v>
      </c>
      <c r="B946" s="3" t="str">
        <f t="shared" si="116"/>
        <v>كالاهاي مصرفي</v>
      </c>
      <c r="C946" s="3" t="str">
        <f>"انبار مركزي ( عمومي )"</f>
        <v>انبار مركزي ( عمومي )</v>
      </c>
      <c r="D946" s="3" t="str">
        <f>"0213001032"</f>
        <v>0213001032</v>
      </c>
      <c r="E946" s="3" t="str">
        <f>"پوساب برچسب دار P180"</f>
        <v>پوساب برچسب دار P180</v>
      </c>
      <c r="F946" s="3" t="str">
        <f>"برگ"</f>
        <v>برگ</v>
      </c>
      <c r="G946" s="3">
        <v>50</v>
      </c>
      <c r="H946" s="5">
        <v>3750000</v>
      </c>
    </row>
    <row r="947" spans="1:8" ht="18.75" x14ac:dyDescent="0.2">
      <c r="A947" s="3" t="str">
        <f t="shared" si="115"/>
        <v>98/11/26</v>
      </c>
      <c r="B947" s="3" t="str">
        <f t="shared" si="116"/>
        <v>كالاهاي مصرفي</v>
      </c>
      <c r="C947" s="3" t="str">
        <f>"انبار مركزي ( عمومي )"</f>
        <v>انبار مركزي ( عمومي )</v>
      </c>
      <c r="D947" s="3" t="str">
        <f>"0904000014"</f>
        <v>0904000014</v>
      </c>
      <c r="E947" s="3" t="str">
        <f>"پاور ماژول 8 پورت پايا"</f>
        <v>پاور ماژول 8 پورت پايا</v>
      </c>
      <c r="F947" s="3" t="str">
        <f>"عدد"</f>
        <v>عدد</v>
      </c>
      <c r="G947" s="3">
        <v>3</v>
      </c>
      <c r="H947" s="5">
        <v>3750000</v>
      </c>
    </row>
    <row r="948" spans="1:8" ht="18.75" x14ac:dyDescent="0.2">
      <c r="A948" s="3" t="str">
        <f t="shared" si="115"/>
        <v>98/11/26</v>
      </c>
      <c r="B948" s="3" t="str">
        <f t="shared" si="116"/>
        <v>كالاهاي مصرفي</v>
      </c>
      <c r="C948" s="3" t="str">
        <f>"انبار مصرفي ZU1"</f>
        <v>انبار مصرفي ZU1</v>
      </c>
      <c r="D948" s="3" t="str">
        <f>"0204000358"</f>
        <v>0204000358</v>
      </c>
      <c r="E948" s="3" t="str">
        <f>"اورينگ HNBR 100*3.5"</f>
        <v>اورينگ HNBR 100*3.5</v>
      </c>
      <c r="F948" s="3" t="str">
        <f>"عدد"</f>
        <v>عدد</v>
      </c>
      <c r="G948" s="3">
        <v>25</v>
      </c>
      <c r="H948" s="5">
        <v>3753125</v>
      </c>
    </row>
    <row r="949" spans="1:8" ht="18.75" x14ac:dyDescent="0.2">
      <c r="A949" s="3" t="str">
        <f t="shared" si="115"/>
        <v>98/11/26</v>
      </c>
      <c r="B949" s="3" t="str">
        <f t="shared" si="116"/>
        <v>كالاهاي مصرفي</v>
      </c>
      <c r="C949" s="3" t="str">
        <f>"انبار مركزي ( عمومي )"</f>
        <v>انبار مركزي ( عمومي )</v>
      </c>
      <c r="D949" s="3" t="str">
        <f>"0206000197"</f>
        <v>0206000197</v>
      </c>
      <c r="E949" s="3" t="str">
        <f>"بست فلزي ديواري 4 اينچ"</f>
        <v>بست فلزي ديواري 4 اينچ</v>
      </c>
      <c r="F949" s="3" t="str">
        <f>"عدد"</f>
        <v>عدد</v>
      </c>
      <c r="G949" s="3">
        <v>100</v>
      </c>
      <c r="H949" s="5">
        <v>3772727</v>
      </c>
    </row>
    <row r="950" spans="1:8" ht="18.75" x14ac:dyDescent="0.2">
      <c r="A950" s="3" t="str">
        <f t="shared" si="115"/>
        <v>98/11/26</v>
      </c>
      <c r="B950" s="3" t="str">
        <f t="shared" si="116"/>
        <v>كالاهاي مصرفي</v>
      </c>
      <c r="C950" s="3" t="str">
        <f>"انبار مصرفي ZU1"</f>
        <v>انبار مصرفي ZU1</v>
      </c>
      <c r="D950" s="3" t="str">
        <f>"0213000126"</f>
        <v>0213000126</v>
      </c>
      <c r="E950" s="3" t="str">
        <f>"واشر قفلي M20"</f>
        <v>واشر قفلي M20</v>
      </c>
      <c r="F950" s="3" t="str">
        <f>"عدد"</f>
        <v>عدد</v>
      </c>
      <c r="G950" s="3">
        <v>450</v>
      </c>
      <c r="H950" s="5">
        <v>3780000</v>
      </c>
    </row>
    <row r="951" spans="1:8" ht="18.75" x14ac:dyDescent="0.2">
      <c r="A951" s="3" t="str">
        <f t="shared" si="115"/>
        <v>98/11/26</v>
      </c>
      <c r="B951" s="3" t="str">
        <f t="shared" si="116"/>
        <v>كالاهاي مصرفي</v>
      </c>
      <c r="C951" s="3" t="str">
        <f>"انبار مركزي ( عمومي )"</f>
        <v>انبار مركزي ( عمومي )</v>
      </c>
      <c r="D951" s="3" t="str">
        <f>"0203000140"</f>
        <v>0203000140</v>
      </c>
      <c r="E951" s="3" t="str">
        <f>"پيچ گوشتي( چهار سو ) ست كامل"</f>
        <v>پيچ گوشتي( چهار سو ) ست كامل</v>
      </c>
      <c r="F951" s="3" t="str">
        <f>"سري"</f>
        <v>سري</v>
      </c>
      <c r="G951" s="3">
        <v>5</v>
      </c>
      <c r="H951" s="5">
        <v>3786878</v>
      </c>
    </row>
    <row r="952" spans="1:8" ht="18.75" x14ac:dyDescent="0.2">
      <c r="A952" s="3" t="str">
        <f t="shared" si="115"/>
        <v>98/11/26</v>
      </c>
      <c r="B952" s="3" t="str">
        <f t="shared" si="116"/>
        <v>كالاهاي مصرفي</v>
      </c>
      <c r="C952" s="3" t="str">
        <f>"انبار مصرفي ZU1"</f>
        <v>انبار مصرفي ZU1</v>
      </c>
      <c r="D952" s="3" t="str">
        <f>"0204001684"</f>
        <v>0204001684</v>
      </c>
      <c r="E952" s="3" t="str">
        <f>"اورينگ HNBR 160*5.8"</f>
        <v>اورينگ HNBR 160*5.8</v>
      </c>
      <c r="F952" s="3" t="str">
        <f t="shared" ref="F952:F959" si="123">"عدد"</f>
        <v>عدد</v>
      </c>
      <c r="G952" s="3">
        <v>9</v>
      </c>
      <c r="H952" s="5">
        <v>3791250</v>
      </c>
    </row>
    <row r="953" spans="1:8" ht="18.75" x14ac:dyDescent="0.2">
      <c r="A953" s="3" t="str">
        <f t="shared" si="115"/>
        <v>98/11/26</v>
      </c>
      <c r="B953" s="3" t="str">
        <f t="shared" si="116"/>
        <v>كالاهاي مصرفي</v>
      </c>
      <c r="C953" s="3" t="str">
        <f>"انبار مصرفي ZU1"</f>
        <v>انبار مصرفي ZU1</v>
      </c>
      <c r="D953" s="3" t="str">
        <f>"0204000723"</f>
        <v>0204000723</v>
      </c>
      <c r="E953" s="3" t="str">
        <f>"كاسه نمد Mild Steel 50*40*6 AIB"</f>
        <v>كاسه نمد Mild Steel 50*40*6 AIB</v>
      </c>
      <c r="F953" s="3" t="str">
        <f t="shared" si="123"/>
        <v>عدد</v>
      </c>
      <c r="G953" s="3">
        <v>48</v>
      </c>
      <c r="H953" s="5">
        <v>3792000</v>
      </c>
    </row>
    <row r="954" spans="1:8" ht="18.75" x14ac:dyDescent="0.2">
      <c r="A954" s="3" t="str">
        <f t="shared" si="115"/>
        <v>98/11/26</v>
      </c>
      <c r="B954" s="3" t="str">
        <f t="shared" si="116"/>
        <v>كالاهاي مصرفي</v>
      </c>
      <c r="C954" s="3" t="str">
        <f>"انبار مركزي ( عمومي )"</f>
        <v>انبار مركزي ( عمومي )</v>
      </c>
      <c r="D954" s="3" t="str">
        <f>"0105000174"</f>
        <v>0105000174</v>
      </c>
      <c r="E954" s="3" t="str">
        <f>"اسپري پلاستيك HAYACOAT (عايق کننده برد الکترونيکي)"</f>
        <v>اسپري پلاستيك HAYACOAT (عايق کننده برد الکترونيکي)</v>
      </c>
      <c r="F954" s="3" t="str">
        <f t="shared" si="123"/>
        <v>عدد</v>
      </c>
      <c r="G954" s="3">
        <v>1</v>
      </c>
      <c r="H954" s="5">
        <v>3800000</v>
      </c>
    </row>
    <row r="955" spans="1:8" ht="18.75" x14ac:dyDescent="0.2">
      <c r="A955" s="3" t="str">
        <f t="shared" si="115"/>
        <v>98/11/26</v>
      </c>
      <c r="B955" s="3" t="str">
        <f t="shared" si="116"/>
        <v>كالاهاي مصرفي</v>
      </c>
      <c r="C955" s="3" t="str">
        <f>"انبار مصرفي ZU1"</f>
        <v>انبار مصرفي ZU1</v>
      </c>
      <c r="D955" s="3" t="str">
        <f>"0204000565"</f>
        <v>0204000565</v>
      </c>
      <c r="E955" s="3" t="str">
        <f>"بيرينگ NU314-ECM"</f>
        <v>بيرينگ NU314-ECM</v>
      </c>
      <c r="F955" s="3" t="str">
        <f t="shared" si="123"/>
        <v>عدد</v>
      </c>
      <c r="G955" s="3">
        <v>1</v>
      </c>
      <c r="H955" s="5">
        <v>3825000</v>
      </c>
    </row>
    <row r="956" spans="1:8" ht="18.75" x14ac:dyDescent="0.2">
      <c r="A956" s="3" t="str">
        <f t="shared" si="115"/>
        <v>98/11/26</v>
      </c>
      <c r="B956" s="3" t="str">
        <f t="shared" si="116"/>
        <v>كالاهاي مصرفي</v>
      </c>
      <c r="C956" s="3" t="str">
        <f>"انبار مركزي ( عمومي )"</f>
        <v>انبار مركزي ( عمومي )</v>
      </c>
      <c r="D956" s="3" t="str">
        <f>"0211001077"</f>
        <v>0211001077</v>
      </c>
      <c r="E956" s="3" t="str">
        <f>"لولا دو تكه اي"</f>
        <v>لولا دو تكه اي</v>
      </c>
      <c r="F956" s="3" t="str">
        <f t="shared" si="123"/>
        <v>عدد</v>
      </c>
      <c r="G956" s="3">
        <v>54</v>
      </c>
      <c r="H956" s="5">
        <v>3829362</v>
      </c>
    </row>
    <row r="957" spans="1:8" ht="18.75" x14ac:dyDescent="0.2">
      <c r="A957" s="3" t="str">
        <f t="shared" si="115"/>
        <v>98/11/26</v>
      </c>
      <c r="B957" s="3" t="str">
        <f t="shared" si="116"/>
        <v>كالاهاي مصرفي</v>
      </c>
      <c r="C957" s="3" t="str">
        <f>"انبار مركزي ( عمومي )"</f>
        <v>انبار مركزي ( عمومي )</v>
      </c>
      <c r="D957" s="3" t="str">
        <f>"0213000625"</f>
        <v>0213000625</v>
      </c>
      <c r="E957" s="3" t="str">
        <f>"مته الماسه معمولي نمره 7"</f>
        <v>مته الماسه معمولي نمره 7</v>
      </c>
      <c r="F957" s="3" t="str">
        <f t="shared" si="123"/>
        <v>عدد</v>
      </c>
      <c r="G957" s="3">
        <v>60</v>
      </c>
      <c r="H957" s="5">
        <v>3845000</v>
      </c>
    </row>
    <row r="958" spans="1:8" ht="18.75" x14ac:dyDescent="0.2">
      <c r="A958" s="3" t="str">
        <f t="shared" si="115"/>
        <v>98/11/26</v>
      </c>
      <c r="B958" s="3" t="str">
        <f t="shared" si="116"/>
        <v>كالاهاي مصرفي</v>
      </c>
      <c r="C958" s="3" t="str">
        <f>"انبار مصرفي ZU1"</f>
        <v>انبار مصرفي ZU1</v>
      </c>
      <c r="D958" s="3" t="str">
        <f>"0203000043"</f>
        <v>0203000043</v>
      </c>
      <c r="E958" s="3" t="str">
        <f>"گاز انبر نجاري 210 ميل"</f>
        <v>گاز انبر نجاري 210 ميل</v>
      </c>
      <c r="F958" s="3" t="str">
        <f t="shared" si="123"/>
        <v>عدد</v>
      </c>
      <c r="G958" s="3">
        <v>5</v>
      </c>
      <c r="H958" s="5">
        <v>3850000</v>
      </c>
    </row>
    <row r="959" spans="1:8" ht="18.75" x14ac:dyDescent="0.2">
      <c r="A959" s="3" t="str">
        <f t="shared" si="115"/>
        <v>98/11/26</v>
      </c>
      <c r="B959" s="3" t="str">
        <f t="shared" si="116"/>
        <v>كالاهاي مصرفي</v>
      </c>
      <c r="C959" s="3" t="str">
        <f>"انبار مصرفي ZU1"</f>
        <v>انبار مصرفي ZU1</v>
      </c>
      <c r="D959" s="3" t="str">
        <f>"0204000146"</f>
        <v>0204000146</v>
      </c>
      <c r="E959" s="3" t="str">
        <f>"اورينگ رزيني   339  *  351"</f>
        <v>اورينگ رزيني   339  *  351</v>
      </c>
      <c r="F959" s="3" t="str">
        <f t="shared" si="123"/>
        <v>عدد</v>
      </c>
      <c r="G959" s="3">
        <v>9</v>
      </c>
      <c r="H959" s="5">
        <v>3850000</v>
      </c>
    </row>
    <row r="960" spans="1:8" ht="18.75" x14ac:dyDescent="0.2">
      <c r="A960" s="3" t="str">
        <f t="shared" si="115"/>
        <v>98/11/26</v>
      </c>
      <c r="B960" s="3" t="str">
        <f t="shared" si="116"/>
        <v>كالاهاي مصرفي</v>
      </c>
      <c r="C960" s="3" t="str">
        <f>"انبار مركزي ( عمومي )"</f>
        <v>انبار مركزي ( عمومي )</v>
      </c>
      <c r="D960" s="3" t="str">
        <f>"0211001129"</f>
        <v>0211001129</v>
      </c>
      <c r="E960" s="3" t="str">
        <f>"ترمينال پلاستيكي نمره 10"</f>
        <v>ترمينال پلاستيكي نمره 10</v>
      </c>
      <c r="F960" s="3" t="str">
        <f>"شاخه"</f>
        <v>شاخه</v>
      </c>
      <c r="G960" s="3">
        <v>50</v>
      </c>
      <c r="H960" s="5">
        <v>3850000</v>
      </c>
    </row>
    <row r="961" spans="1:8" ht="18.75" x14ac:dyDescent="0.2">
      <c r="A961" s="3" t="str">
        <f t="shared" si="115"/>
        <v>98/11/26</v>
      </c>
      <c r="B961" s="3" t="str">
        <f t="shared" si="116"/>
        <v>كالاهاي مصرفي</v>
      </c>
      <c r="C961" s="3" t="str">
        <f>"انبار مركزي ( عمومي )"</f>
        <v>انبار مركزي ( عمومي )</v>
      </c>
      <c r="D961" s="3" t="str">
        <f>"0203000139"</f>
        <v>0203000139</v>
      </c>
      <c r="E961" s="3" t="str">
        <f>"پيچ گوشتي( دو سو )ست كامل"</f>
        <v>پيچ گوشتي( دو سو )ست كامل</v>
      </c>
      <c r="F961" s="3" t="str">
        <f>"سري"</f>
        <v>سري</v>
      </c>
      <c r="G961" s="3">
        <v>5</v>
      </c>
      <c r="H961" s="5">
        <v>3850107</v>
      </c>
    </row>
    <row r="962" spans="1:8" ht="18.75" x14ac:dyDescent="0.2">
      <c r="A962" s="3" t="str">
        <f t="shared" ref="A962:A1025" si="124">"98/11/26"</f>
        <v>98/11/26</v>
      </c>
      <c r="B962" s="3" t="str">
        <f t="shared" ref="B962:B1025" si="125">"كالاهاي مصرفي"</f>
        <v>كالاهاي مصرفي</v>
      </c>
      <c r="C962" s="3" t="str">
        <f>"انبار مركزي ( عمومي )"</f>
        <v>انبار مركزي ( عمومي )</v>
      </c>
      <c r="D962" s="3" t="str">
        <f>"0601000120"</f>
        <v>0601000120</v>
      </c>
      <c r="E962" s="3" t="str">
        <f>"عينك جوشكاري آرگون"</f>
        <v>عينك جوشكاري آرگون</v>
      </c>
      <c r="F962" s="3" t="str">
        <f>"عدد"</f>
        <v>عدد</v>
      </c>
      <c r="G962" s="3">
        <v>17</v>
      </c>
      <c r="H962" s="5">
        <v>3882246</v>
      </c>
    </row>
    <row r="963" spans="1:8" ht="18.75" x14ac:dyDescent="0.2">
      <c r="A963" s="3" t="str">
        <f t="shared" si="124"/>
        <v>98/11/26</v>
      </c>
      <c r="B963" s="3" t="str">
        <f t="shared" si="125"/>
        <v>كالاهاي مصرفي</v>
      </c>
      <c r="C963" s="3" t="str">
        <f>"انبار مركزي ( عمومي )"</f>
        <v>انبار مركزي ( عمومي )</v>
      </c>
      <c r="D963" s="3" t="str">
        <f>"0203000040"</f>
        <v>0203000040</v>
      </c>
      <c r="E963" s="3" t="str">
        <f>"آچار ال شش گوش"</f>
        <v>آچار ال شش گوش</v>
      </c>
      <c r="F963" s="3" t="str">
        <f>"دست"</f>
        <v>دست</v>
      </c>
      <c r="G963" s="3">
        <v>3</v>
      </c>
      <c r="H963" s="5">
        <v>3900000</v>
      </c>
    </row>
    <row r="964" spans="1:8" ht="18.75" x14ac:dyDescent="0.2">
      <c r="A964" s="3" t="str">
        <f t="shared" si="124"/>
        <v>98/11/26</v>
      </c>
      <c r="B964" s="3" t="str">
        <f t="shared" si="125"/>
        <v>كالاهاي مصرفي</v>
      </c>
      <c r="C964" s="3" t="str">
        <f>"انبار مصرفي ZU1"</f>
        <v>انبار مصرفي ZU1</v>
      </c>
      <c r="D964" s="3" t="str">
        <f>"0204000387"</f>
        <v>0204000387</v>
      </c>
      <c r="E964" s="3" t="str">
        <f>"بيرينگNU308-ECJ"</f>
        <v>بيرينگNU308-ECJ</v>
      </c>
      <c r="F964" s="3" t="str">
        <f>"عدد"</f>
        <v>عدد</v>
      </c>
      <c r="G964" s="3">
        <v>4</v>
      </c>
      <c r="H964" s="5">
        <v>3900000</v>
      </c>
    </row>
    <row r="965" spans="1:8" ht="18.75" x14ac:dyDescent="0.2">
      <c r="A965" s="3" t="str">
        <f t="shared" si="124"/>
        <v>98/11/26</v>
      </c>
      <c r="B965" s="3" t="str">
        <f t="shared" si="125"/>
        <v>كالاهاي مصرفي</v>
      </c>
      <c r="C965" s="3" t="str">
        <f>"انبار مصرفي ZU1"</f>
        <v>انبار مصرفي ZU1</v>
      </c>
      <c r="D965" s="3" t="str">
        <f>"0204001195"</f>
        <v>0204001195</v>
      </c>
      <c r="E965" s="3" t="str">
        <f>"تسمه پروانه SPA 950"</f>
        <v>تسمه پروانه SPA 950</v>
      </c>
      <c r="F965" s="3" t="str">
        <f>"حلقه"</f>
        <v>حلقه</v>
      </c>
      <c r="G965" s="3">
        <v>16</v>
      </c>
      <c r="H965" s="5">
        <v>3900000</v>
      </c>
    </row>
    <row r="966" spans="1:8" ht="18.75" x14ac:dyDescent="0.2">
      <c r="A966" s="3" t="str">
        <f t="shared" si="124"/>
        <v>98/11/26</v>
      </c>
      <c r="B966" s="3" t="str">
        <f t="shared" si="125"/>
        <v>كالاهاي مصرفي</v>
      </c>
      <c r="C966" s="3" t="str">
        <f>"انبار مصرفي ZU1"</f>
        <v>انبار مصرفي ZU1</v>
      </c>
      <c r="D966" s="3" t="str">
        <f>"0204002143"</f>
        <v>0204002143</v>
      </c>
      <c r="E966" s="3" t="str">
        <f>"تسمه پروانه SPA (UA-2120"</f>
        <v>تسمه پروانه SPA (UA-2120</v>
      </c>
      <c r="F966" s="3" t="str">
        <f>"حلقه"</f>
        <v>حلقه</v>
      </c>
      <c r="G966" s="3">
        <v>10</v>
      </c>
      <c r="H966" s="5">
        <v>3900000</v>
      </c>
    </row>
    <row r="967" spans="1:8" ht="18.75" x14ac:dyDescent="0.2">
      <c r="A967" s="3" t="str">
        <f t="shared" si="124"/>
        <v>98/11/26</v>
      </c>
      <c r="B967" s="3" t="str">
        <f t="shared" si="125"/>
        <v>كالاهاي مصرفي</v>
      </c>
      <c r="C967" s="3" t="str">
        <f>"انبار مركزي ( عمومي )"</f>
        <v>انبار مركزي ( عمومي )</v>
      </c>
      <c r="D967" s="3" t="str">
        <f>"0213000594"</f>
        <v>0213000594</v>
      </c>
      <c r="E967" s="3" t="str">
        <f>"پوسابP100 معمولي"</f>
        <v>پوسابP100 معمولي</v>
      </c>
      <c r="F967" s="3" t="str">
        <f>"برگ"</f>
        <v>برگ</v>
      </c>
      <c r="G967" s="3">
        <v>200</v>
      </c>
      <c r="H967" s="5">
        <v>3900000</v>
      </c>
    </row>
    <row r="968" spans="1:8" ht="18.75" x14ac:dyDescent="0.2">
      <c r="A968" s="3" t="str">
        <f t="shared" si="124"/>
        <v>98/11/26</v>
      </c>
      <c r="B968" s="3" t="str">
        <f t="shared" si="125"/>
        <v>كالاهاي مصرفي</v>
      </c>
      <c r="C968" s="3" t="str">
        <f t="shared" ref="C968:C984" si="126">"انبار مصرفي ZU1"</f>
        <v>انبار مصرفي ZU1</v>
      </c>
      <c r="D968" s="3" t="str">
        <f>"0213000594"</f>
        <v>0213000594</v>
      </c>
      <c r="E968" s="3" t="str">
        <f>"پوسابP100 معمولي"</f>
        <v>پوسابP100 معمولي</v>
      </c>
      <c r="F968" s="3" t="str">
        <f>"برگ"</f>
        <v>برگ</v>
      </c>
      <c r="G968" s="3">
        <v>200</v>
      </c>
      <c r="H968" s="5">
        <v>3900000</v>
      </c>
    </row>
    <row r="969" spans="1:8" ht="18.75" x14ac:dyDescent="0.2">
      <c r="A969" s="3" t="str">
        <f t="shared" si="124"/>
        <v>98/11/26</v>
      </c>
      <c r="B969" s="3" t="str">
        <f t="shared" si="125"/>
        <v>كالاهاي مصرفي</v>
      </c>
      <c r="C969" s="3" t="str">
        <f t="shared" si="126"/>
        <v>انبار مصرفي ZU1</v>
      </c>
      <c r="D969" s="3" t="str">
        <f>"0106000161"</f>
        <v>0106000161</v>
      </c>
      <c r="E969" s="3" t="str">
        <f>"گريس خور نمره 6"</f>
        <v>گريس خور نمره 6</v>
      </c>
      <c r="F969" s="3" t="str">
        <f>"عدد"</f>
        <v>عدد</v>
      </c>
      <c r="G969" s="3">
        <v>117</v>
      </c>
      <c r="H969" s="5">
        <v>3900001</v>
      </c>
    </row>
    <row r="970" spans="1:8" ht="18.75" x14ac:dyDescent="0.2">
      <c r="A970" s="3" t="str">
        <f t="shared" si="124"/>
        <v>98/11/26</v>
      </c>
      <c r="B970" s="3" t="str">
        <f t="shared" si="125"/>
        <v>كالاهاي مصرفي</v>
      </c>
      <c r="C970" s="3" t="str">
        <f t="shared" si="126"/>
        <v>انبار مصرفي ZU1</v>
      </c>
      <c r="D970" s="3" t="str">
        <f>"0204002134"</f>
        <v>0204002134</v>
      </c>
      <c r="E970" s="3" t="str">
        <f>"تسمه پروانه B69"</f>
        <v>تسمه پروانه B69</v>
      </c>
      <c r="F970" s="3" t="str">
        <f>"حلقه"</f>
        <v>حلقه</v>
      </c>
      <c r="G970" s="3">
        <v>9</v>
      </c>
      <c r="H970" s="5">
        <v>3915000</v>
      </c>
    </row>
    <row r="971" spans="1:8" ht="18.75" x14ac:dyDescent="0.2">
      <c r="A971" s="3" t="str">
        <f t="shared" si="124"/>
        <v>98/11/26</v>
      </c>
      <c r="B971" s="3" t="str">
        <f t="shared" si="125"/>
        <v>كالاهاي مصرفي</v>
      </c>
      <c r="C971" s="3" t="str">
        <f t="shared" si="126"/>
        <v>انبار مصرفي ZU1</v>
      </c>
      <c r="D971" s="3" t="str">
        <f>"0204001666"</f>
        <v>0204001666</v>
      </c>
      <c r="E971" s="3" t="str">
        <f>"اورينگ HNBR 20*2"</f>
        <v>اورينگ HNBR 20*2</v>
      </c>
      <c r="F971" s="3" t="str">
        <f>"عدد"</f>
        <v>عدد</v>
      </c>
      <c r="G971" s="3">
        <v>26</v>
      </c>
      <c r="H971" s="5">
        <v>3919500</v>
      </c>
    </row>
    <row r="972" spans="1:8" ht="18.75" x14ac:dyDescent="0.2">
      <c r="A972" s="3" t="str">
        <f t="shared" si="124"/>
        <v>98/11/26</v>
      </c>
      <c r="B972" s="3" t="str">
        <f t="shared" si="125"/>
        <v>كالاهاي مصرفي</v>
      </c>
      <c r="C972" s="3" t="str">
        <f t="shared" si="126"/>
        <v>انبار مصرفي ZU1</v>
      </c>
      <c r="D972" s="3" t="str">
        <f>"0203000187"</f>
        <v>0203000187</v>
      </c>
      <c r="E972" s="3" t="str">
        <f>"انبر پرچ كن دستي"</f>
        <v>انبر پرچ كن دستي</v>
      </c>
      <c r="F972" s="3" t="str">
        <f>"عدد"</f>
        <v>عدد</v>
      </c>
      <c r="G972" s="3">
        <v>7</v>
      </c>
      <c r="H972" s="5">
        <v>3920000</v>
      </c>
    </row>
    <row r="973" spans="1:8" ht="18.75" x14ac:dyDescent="0.2">
      <c r="A973" s="3" t="str">
        <f t="shared" si="124"/>
        <v>98/11/26</v>
      </c>
      <c r="B973" s="3" t="str">
        <f t="shared" si="125"/>
        <v>كالاهاي مصرفي</v>
      </c>
      <c r="C973" s="3" t="str">
        <f t="shared" si="126"/>
        <v>انبار مصرفي ZU1</v>
      </c>
      <c r="D973" s="3" t="str">
        <f>"0110000006"</f>
        <v>0110000006</v>
      </c>
      <c r="E973" s="3" t="str">
        <f>"استون 96 درصد"</f>
        <v>استون 96 درصد</v>
      </c>
      <c r="F973" s="3" t="str">
        <f>"ليتر"</f>
        <v>ليتر</v>
      </c>
      <c r="G973" s="3">
        <v>16</v>
      </c>
      <c r="H973" s="5">
        <v>3928000</v>
      </c>
    </row>
    <row r="974" spans="1:8" ht="18.75" x14ac:dyDescent="0.2">
      <c r="A974" s="3" t="str">
        <f t="shared" si="124"/>
        <v>98/11/26</v>
      </c>
      <c r="B974" s="3" t="str">
        <f t="shared" si="125"/>
        <v>كالاهاي مصرفي</v>
      </c>
      <c r="C974" s="3" t="str">
        <f t="shared" si="126"/>
        <v>انبار مصرفي ZU1</v>
      </c>
      <c r="D974" s="3" t="str">
        <f>"0213000421"</f>
        <v>0213000421</v>
      </c>
      <c r="E974" s="3" t="str">
        <f>"پيچ يك سر رزوه استنلس استيل M24*80"</f>
        <v>پيچ يك سر رزوه استنلس استيل M24*80</v>
      </c>
      <c r="F974" s="3" t="str">
        <f>"عدد"</f>
        <v>عدد</v>
      </c>
      <c r="G974" s="3">
        <v>30</v>
      </c>
      <c r="H974" s="5">
        <v>3960000</v>
      </c>
    </row>
    <row r="975" spans="1:8" ht="18.75" x14ac:dyDescent="0.2">
      <c r="A975" s="3" t="str">
        <f t="shared" si="124"/>
        <v>98/11/26</v>
      </c>
      <c r="B975" s="3" t="str">
        <f t="shared" si="125"/>
        <v>كالاهاي مصرفي</v>
      </c>
      <c r="C975" s="3" t="str">
        <f t="shared" si="126"/>
        <v>انبار مصرفي ZU1</v>
      </c>
      <c r="D975" s="3" t="str">
        <f>"0204001391"</f>
        <v>0204001391</v>
      </c>
      <c r="E975" s="3" t="str">
        <f>"اورينگ HNBR 106*3"</f>
        <v>اورينگ HNBR 106*3</v>
      </c>
      <c r="F975" s="3" t="str">
        <f>"عدد"</f>
        <v>عدد</v>
      </c>
      <c r="G975" s="3">
        <v>17</v>
      </c>
      <c r="H975" s="5">
        <v>3961000</v>
      </c>
    </row>
    <row r="976" spans="1:8" ht="18.75" x14ac:dyDescent="0.2">
      <c r="A976" s="3" t="str">
        <f t="shared" si="124"/>
        <v>98/11/26</v>
      </c>
      <c r="B976" s="3" t="str">
        <f t="shared" si="125"/>
        <v>كالاهاي مصرفي</v>
      </c>
      <c r="C976" s="3" t="str">
        <f t="shared" si="126"/>
        <v>انبار مصرفي ZU1</v>
      </c>
      <c r="D976" s="3" t="str">
        <f>"0204000084"</f>
        <v>0204000084</v>
      </c>
      <c r="E976" s="3" t="str">
        <f>"بيرينگ 2Z/C3-6310"</f>
        <v>بيرينگ 2Z/C3-6310</v>
      </c>
      <c r="F976" s="3" t="str">
        <f>"عدد"</f>
        <v>عدد</v>
      </c>
      <c r="G976" s="3">
        <v>8</v>
      </c>
      <c r="H976" s="5">
        <v>3972956</v>
      </c>
    </row>
    <row r="977" spans="1:8" ht="18.75" x14ac:dyDescent="0.2">
      <c r="A977" s="3" t="str">
        <f t="shared" si="124"/>
        <v>98/11/26</v>
      </c>
      <c r="B977" s="3" t="str">
        <f t="shared" si="125"/>
        <v>كالاهاي مصرفي</v>
      </c>
      <c r="C977" s="3" t="str">
        <f t="shared" si="126"/>
        <v>انبار مصرفي ZU1</v>
      </c>
      <c r="D977" s="3" t="str">
        <f>"0102000171"</f>
        <v>0102000171</v>
      </c>
      <c r="E977" s="3" t="str">
        <f>"رويه اپوکسي پلي آمين HB با هاردنر رال 9010"</f>
        <v>رويه اپوکسي پلي آمين HB با هاردنر رال 9010</v>
      </c>
      <c r="F977" s="3" t="str">
        <f>"کيلوگرم"</f>
        <v>کيلوگرم</v>
      </c>
      <c r="G977" s="3">
        <v>10</v>
      </c>
      <c r="H977" s="5">
        <v>4000000</v>
      </c>
    </row>
    <row r="978" spans="1:8" ht="18.75" x14ac:dyDescent="0.2">
      <c r="A978" s="3" t="str">
        <f t="shared" si="124"/>
        <v>98/11/26</v>
      </c>
      <c r="B978" s="3" t="str">
        <f t="shared" si="125"/>
        <v>كالاهاي مصرفي</v>
      </c>
      <c r="C978" s="3" t="str">
        <f t="shared" si="126"/>
        <v>انبار مصرفي ZU1</v>
      </c>
      <c r="D978" s="3" t="str">
        <f>"0204000410"</f>
        <v>0204000410</v>
      </c>
      <c r="E978" s="3" t="str">
        <f>"بيرينگ 2Z/C3-6201"</f>
        <v>بيرينگ 2Z/C3-6201</v>
      </c>
      <c r="F978" s="3" t="str">
        <f>"عدد"</f>
        <v>عدد</v>
      </c>
      <c r="G978" s="3">
        <v>20</v>
      </c>
      <c r="H978" s="5">
        <v>4000000</v>
      </c>
    </row>
    <row r="979" spans="1:8" ht="18.75" x14ac:dyDescent="0.2">
      <c r="A979" s="3" t="str">
        <f t="shared" si="124"/>
        <v>98/11/26</v>
      </c>
      <c r="B979" s="3" t="str">
        <f t="shared" si="125"/>
        <v>كالاهاي مصرفي</v>
      </c>
      <c r="C979" s="3" t="str">
        <f t="shared" si="126"/>
        <v>انبار مصرفي ZU1</v>
      </c>
      <c r="D979" s="3" t="str">
        <f>"0204001501"</f>
        <v>0204001501</v>
      </c>
      <c r="E979" s="3" t="str">
        <f>"بيرينگ 22217E/C3"</f>
        <v>بيرينگ 22217E/C3</v>
      </c>
      <c r="F979" s="3" t="str">
        <f>"عدد"</f>
        <v>عدد</v>
      </c>
      <c r="G979" s="3">
        <v>1</v>
      </c>
      <c r="H979" s="5">
        <v>4000000</v>
      </c>
    </row>
    <row r="980" spans="1:8" ht="18.75" x14ac:dyDescent="0.2">
      <c r="A980" s="3" t="str">
        <f t="shared" si="124"/>
        <v>98/11/26</v>
      </c>
      <c r="B980" s="3" t="str">
        <f t="shared" si="125"/>
        <v>كالاهاي مصرفي</v>
      </c>
      <c r="C980" s="3" t="str">
        <f t="shared" si="126"/>
        <v>انبار مصرفي ZU1</v>
      </c>
      <c r="D980" s="3" t="str">
        <f>"0213000134"</f>
        <v>0213000134</v>
      </c>
      <c r="E980" s="3" t="str">
        <f>"واشر قفلي M38"</f>
        <v>واشر قفلي M38</v>
      </c>
      <c r="F980" s="3" t="str">
        <f>"عدد"</f>
        <v>عدد</v>
      </c>
      <c r="G980" s="3">
        <v>40</v>
      </c>
      <c r="H980" s="5">
        <v>4000000</v>
      </c>
    </row>
    <row r="981" spans="1:8" ht="18.75" x14ac:dyDescent="0.2">
      <c r="A981" s="3" t="str">
        <f t="shared" si="124"/>
        <v>98/11/26</v>
      </c>
      <c r="B981" s="3" t="str">
        <f t="shared" si="125"/>
        <v>كالاهاي مصرفي</v>
      </c>
      <c r="C981" s="3" t="str">
        <f t="shared" si="126"/>
        <v>انبار مصرفي ZU1</v>
      </c>
      <c r="D981" s="3" t="str">
        <f>"0103000079"</f>
        <v>0103000079</v>
      </c>
      <c r="E981" s="3" t="str">
        <f>"سيليكاژل آبي گرانول 1 كيلويي نايلون"</f>
        <v>سيليكاژل آبي گرانول 1 كيلويي نايلون</v>
      </c>
      <c r="F981" s="3" t="str">
        <f>"کيلوگرم"</f>
        <v>کيلوگرم</v>
      </c>
      <c r="G981" s="3">
        <v>31</v>
      </c>
      <c r="H981" s="5">
        <v>4030000</v>
      </c>
    </row>
    <row r="982" spans="1:8" ht="18.75" x14ac:dyDescent="0.2">
      <c r="A982" s="3" t="str">
        <f t="shared" si="124"/>
        <v>98/11/26</v>
      </c>
      <c r="B982" s="3" t="str">
        <f t="shared" si="125"/>
        <v>كالاهاي مصرفي</v>
      </c>
      <c r="C982" s="3" t="str">
        <f t="shared" si="126"/>
        <v>انبار مصرفي ZU1</v>
      </c>
      <c r="D982" s="3" t="str">
        <f>"0204000509"</f>
        <v>0204000509</v>
      </c>
      <c r="E982" s="3" t="str">
        <f>"بيرينگ 6307-A"</f>
        <v>بيرينگ 6307-A</v>
      </c>
      <c r="F982" s="3" t="str">
        <f>"عدد"</f>
        <v>عدد</v>
      </c>
      <c r="G982" s="3">
        <v>11</v>
      </c>
      <c r="H982" s="5">
        <v>4033334</v>
      </c>
    </row>
    <row r="983" spans="1:8" ht="18.75" x14ac:dyDescent="0.2">
      <c r="A983" s="3" t="str">
        <f t="shared" si="124"/>
        <v>98/11/26</v>
      </c>
      <c r="B983" s="3" t="str">
        <f t="shared" si="125"/>
        <v>كالاهاي مصرفي</v>
      </c>
      <c r="C983" s="3" t="str">
        <f t="shared" si="126"/>
        <v>انبار مصرفي ZU1</v>
      </c>
      <c r="D983" s="3" t="str">
        <f>"0204000725"</f>
        <v>0204000725</v>
      </c>
      <c r="E983" s="3" t="str">
        <f>"كاسه نمد Mild Steel 58*80*13 AIB"</f>
        <v>كاسه نمد Mild Steel 58*80*13 AIB</v>
      </c>
      <c r="F983" s="3" t="str">
        <f>"عدد"</f>
        <v>عدد</v>
      </c>
      <c r="G983" s="3">
        <v>6</v>
      </c>
      <c r="H983" s="5">
        <v>4044000</v>
      </c>
    </row>
    <row r="984" spans="1:8" ht="18.75" x14ac:dyDescent="0.2">
      <c r="A984" s="3" t="str">
        <f t="shared" si="124"/>
        <v>98/11/26</v>
      </c>
      <c r="B984" s="3" t="str">
        <f t="shared" si="125"/>
        <v>كالاهاي مصرفي</v>
      </c>
      <c r="C984" s="3" t="str">
        <f t="shared" si="126"/>
        <v>انبار مصرفي ZU1</v>
      </c>
      <c r="D984" s="3" t="str">
        <f>"0213000349"</f>
        <v>0213000349</v>
      </c>
      <c r="E984" s="3" t="str">
        <f>"پوساب P240 معمولي"</f>
        <v>پوساب P240 معمولي</v>
      </c>
      <c r="F984" s="3" t="str">
        <f>"برگ"</f>
        <v>برگ</v>
      </c>
      <c r="G984" s="3">
        <v>140</v>
      </c>
      <c r="H984" s="5">
        <v>4046000</v>
      </c>
    </row>
    <row r="985" spans="1:8" ht="18.75" x14ac:dyDescent="0.2">
      <c r="A985" s="3" t="str">
        <f t="shared" si="124"/>
        <v>98/11/26</v>
      </c>
      <c r="B985" s="3" t="str">
        <f t="shared" si="125"/>
        <v>كالاهاي مصرفي</v>
      </c>
      <c r="C985" s="3" t="str">
        <f>"انبار مركزي ( عمومي )"</f>
        <v>انبار مركزي ( عمومي )</v>
      </c>
      <c r="D985" s="3" t="str">
        <f>"0203000296"</f>
        <v>0203000296</v>
      </c>
      <c r="E985" s="3" t="str">
        <f>"فنر توكار خم كن لوله مسي"</f>
        <v>فنر توكار خم كن لوله مسي</v>
      </c>
      <c r="F985" s="3" t="str">
        <f>"عدد"</f>
        <v>عدد</v>
      </c>
      <c r="G985" s="3">
        <v>3</v>
      </c>
      <c r="H985" s="5">
        <v>4050000</v>
      </c>
    </row>
    <row r="986" spans="1:8" ht="18.75" x14ac:dyDescent="0.2">
      <c r="A986" s="3" t="str">
        <f t="shared" si="124"/>
        <v>98/11/26</v>
      </c>
      <c r="B986" s="3" t="str">
        <f t="shared" si="125"/>
        <v>كالاهاي مصرفي</v>
      </c>
      <c r="C986" s="3" t="str">
        <f>"انبار مركزي ( عمومي )"</f>
        <v>انبار مركزي ( عمومي )</v>
      </c>
      <c r="D986" s="3" t="str">
        <f>"0207000029"</f>
        <v>0207000029</v>
      </c>
      <c r="E986" s="3" t="str">
        <f>"شيلنگ آرگون"</f>
        <v>شيلنگ آرگون</v>
      </c>
      <c r="F986" s="3" t="str">
        <f>"متر"</f>
        <v>متر</v>
      </c>
      <c r="G986" s="3">
        <v>39</v>
      </c>
      <c r="H986" s="5">
        <v>4075418</v>
      </c>
    </row>
    <row r="987" spans="1:8" ht="18.75" x14ac:dyDescent="0.2">
      <c r="A987" s="3" t="str">
        <f t="shared" si="124"/>
        <v>98/11/26</v>
      </c>
      <c r="B987" s="3" t="str">
        <f t="shared" si="125"/>
        <v>كالاهاي مصرفي</v>
      </c>
      <c r="C987" s="3" t="str">
        <f>"انبار مصرفي ZU1"</f>
        <v>انبار مصرفي ZU1</v>
      </c>
      <c r="D987" s="3" t="str">
        <f>"0204001618"</f>
        <v>0204001618</v>
      </c>
      <c r="E987" s="3" t="str">
        <f>"بيرينگ ECP/C3 - NU205"</f>
        <v>بيرينگ ECP/C3 - NU205</v>
      </c>
      <c r="F987" s="3" t="str">
        <f>"عدد"</f>
        <v>عدد</v>
      </c>
      <c r="G987" s="3">
        <v>6</v>
      </c>
      <c r="H987" s="5">
        <v>4080000</v>
      </c>
    </row>
    <row r="988" spans="1:8" ht="18.75" x14ac:dyDescent="0.2">
      <c r="A988" s="3" t="str">
        <f t="shared" si="124"/>
        <v>98/11/26</v>
      </c>
      <c r="B988" s="3" t="str">
        <f t="shared" si="125"/>
        <v>كالاهاي مصرفي</v>
      </c>
      <c r="C988" s="3" t="str">
        <f>"انبار مصرفي ZU1"</f>
        <v>انبار مصرفي ZU1</v>
      </c>
      <c r="D988" s="3" t="str">
        <f>"0204002002"</f>
        <v>0204002002</v>
      </c>
      <c r="E988" s="3" t="str">
        <f>"بيرينگ 22209K"</f>
        <v>بيرينگ 22209K</v>
      </c>
      <c r="F988" s="3" t="str">
        <f>"عدد"</f>
        <v>عدد</v>
      </c>
      <c r="G988" s="3">
        <v>4</v>
      </c>
      <c r="H988" s="5">
        <v>4080000</v>
      </c>
    </row>
    <row r="989" spans="1:8" ht="18.75" x14ac:dyDescent="0.2">
      <c r="A989" s="3" t="str">
        <f t="shared" si="124"/>
        <v>98/11/26</v>
      </c>
      <c r="B989" s="3" t="str">
        <f t="shared" si="125"/>
        <v>كالاهاي مصرفي</v>
      </c>
      <c r="C989" s="3" t="str">
        <f>"انبار مركزي ( عمومي )"</f>
        <v>انبار مركزي ( عمومي )</v>
      </c>
      <c r="D989" s="3" t="str">
        <f>"0211000473"</f>
        <v>0211000473</v>
      </c>
      <c r="E989" s="3" t="str">
        <f>"سيم چين آرموتور بندي"</f>
        <v>سيم چين آرموتور بندي</v>
      </c>
      <c r="F989" s="3" t="str">
        <f>"عدد"</f>
        <v>عدد</v>
      </c>
      <c r="G989" s="3">
        <v>3</v>
      </c>
      <c r="H989" s="5">
        <v>4080000</v>
      </c>
    </row>
    <row r="990" spans="1:8" ht="18.75" x14ac:dyDescent="0.2">
      <c r="A990" s="3" t="str">
        <f t="shared" si="124"/>
        <v>98/11/26</v>
      </c>
      <c r="B990" s="3" t="str">
        <f t="shared" si="125"/>
        <v>كالاهاي مصرفي</v>
      </c>
      <c r="C990" s="3" t="str">
        <f t="shared" ref="C990:C1011" si="127">"انبار مصرفي ZU1"</f>
        <v>انبار مصرفي ZU1</v>
      </c>
      <c r="D990" s="3" t="str">
        <f>"0211000473"</f>
        <v>0211000473</v>
      </c>
      <c r="E990" s="3" t="str">
        <f>"سيم چين آرموتور بندي"</f>
        <v>سيم چين آرموتور بندي</v>
      </c>
      <c r="F990" s="3" t="str">
        <f>"عدد"</f>
        <v>عدد</v>
      </c>
      <c r="G990" s="3">
        <v>4</v>
      </c>
      <c r="H990" s="5">
        <v>4080000</v>
      </c>
    </row>
    <row r="991" spans="1:8" ht="18.75" x14ac:dyDescent="0.2">
      <c r="A991" s="3" t="str">
        <f t="shared" si="124"/>
        <v>98/11/26</v>
      </c>
      <c r="B991" s="3" t="str">
        <f t="shared" si="125"/>
        <v>كالاهاي مصرفي</v>
      </c>
      <c r="C991" s="3" t="str">
        <f t="shared" si="127"/>
        <v>انبار مصرفي ZU1</v>
      </c>
      <c r="D991" s="3" t="str">
        <f>"0204001334"</f>
        <v>0204001334</v>
      </c>
      <c r="E991" s="3" t="str">
        <f>"اورينگ HNBR 200*4.0"</f>
        <v>اورينگ HNBR 200*4.0</v>
      </c>
      <c r="F991" s="3" t="str">
        <f>"عدد"</f>
        <v>عدد</v>
      </c>
      <c r="G991" s="3">
        <v>12</v>
      </c>
      <c r="H991" s="5">
        <v>4140000</v>
      </c>
    </row>
    <row r="992" spans="1:8" ht="18.75" x14ac:dyDescent="0.2">
      <c r="A992" s="3" t="str">
        <f t="shared" si="124"/>
        <v>98/11/26</v>
      </c>
      <c r="B992" s="3" t="str">
        <f t="shared" si="125"/>
        <v>كالاهاي مصرفي</v>
      </c>
      <c r="C992" s="3" t="str">
        <f t="shared" si="127"/>
        <v>انبار مصرفي ZU1</v>
      </c>
      <c r="D992" s="3" t="str">
        <f>"0213000649"</f>
        <v>0213000649</v>
      </c>
      <c r="E992" s="3" t="str">
        <f>"سيم بكسل"</f>
        <v>سيم بكسل</v>
      </c>
      <c r="F992" s="3" t="str">
        <f>"متر"</f>
        <v>متر</v>
      </c>
      <c r="G992" s="3">
        <v>50</v>
      </c>
      <c r="H992" s="5">
        <v>4161866</v>
      </c>
    </row>
    <row r="993" spans="1:8" ht="18.75" x14ac:dyDescent="0.2">
      <c r="A993" s="3" t="str">
        <f t="shared" si="124"/>
        <v>98/11/26</v>
      </c>
      <c r="B993" s="3" t="str">
        <f t="shared" si="125"/>
        <v>كالاهاي مصرفي</v>
      </c>
      <c r="C993" s="3" t="str">
        <f t="shared" si="127"/>
        <v>انبار مصرفي ZU1</v>
      </c>
      <c r="D993" s="3" t="str">
        <f>"0204000173"</f>
        <v>0204000173</v>
      </c>
      <c r="E993" s="3" t="str">
        <f>"واشر پريشمان ضخامت 1 ميليمتر"</f>
        <v>واشر پريشمان ضخامت 1 ميليمتر</v>
      </c>
      <c r="F993" s="3" t="str">
        <f>"ورق"</f>
        <v>ورق</v>
      </c>
      <c r="G993" s="3">
        <v>11</v>
      </c>
      <c r="H993" s="5">
        <v>4180000</v>
      </c>
    </row>
    <row r="994" spans="1:8" ht="18.75" x14ac:dyDescent="0.2">
      <c r="A994" s="3" t="str">
        <f t="shared" si="124"/>
        <v>98/11/26</v>
      </c>
      <c r="B994" s="3" t="str">
        <f t="shared" si="125"/>
        <v>كالاهاي مصرفي</v>
      </c>
      <c r="C994" s="3" t="str">
        <f t="shared" si="127"/>
        <v>انبار مصرفي ZU1</v>
      </c>
      <c r="D994" s="3" t="str">
        <f>"0204001383"</f>
        <v>0204001383</v>
      </c>
      <c r="E994" s="3" t="str">
        <f>"اورينگ HNBR 79*3"</f>
        <v>اورينگ HNBR 79*3</v>
      </c>
      <c r="F994" s="3" t="str">
        <f>"عدد"</f>
        <v>عدد</v>
      </c>
      <c r="G994" s="3">
        <v>18</v>
      </c>
      <c r="H994" s="5">
        <v>4194000</v>
      </c>
    </row>
    <row r="995" spans="1:8" ht="18.75" x14ac:dyDescent="0.2">
      <c r="A995" s="3" t="str">
        <f t="shared" si="124"/>
        <v>98/11/26</v>
      </c>
      <c r="B995" s="3" t="str">
        <f t="shared" si="125"/>
        <v>كالاهاي مصرفي</v>
      </c>
      <c r="C995" s="3" t="str">
        <f t="shared" si="127"/>
        <v>انبار مصرفي ZU1</v>
      </c>
      <c r="D995" s="3" t="str">
        <f>"0204001386"</f>
        <v>0204001386</v>
      </c>
      <c r="E995" s="3" t="str">
        <f>"اورينگ HNBR 80*5"</f>
        <v>اورينگ HNBR 80*5</v>
      </c>
      <c r="F995" s="3" t="str">
        <f>"عدد"</f>
        <v>عدد</v>
      </c>
      <c r="G995" s="3">
        <v>18</v>
      </c>
      <c r="H995" s="5">
        <v>4194000</v>
      </c>
    </row>
    <row r="996" spans="1:8" ht="18.75" x14ac:dyDescent="0.2">
      <c r="A996" s="3" t="str">
        <f t="shared" si="124"/>
        <v>98/11/26</v>
      </c>
      <c r="B996" s="3" t="str">
        <f t="shared" si="125"/>
        <v>كالاهاي مصرفي</v>
      </c>
      <c r="C996" s="3" t="str">
        <f t="shared" si="127"/>
        <v>انبار مصرفي ZU1</v>
      </c>
      <c r="D996" s="3" t="str">
        <f>"0204000108"</f>
        <v>0204000108</v>
      </c>
      <c r="E996" s="3" t="str">
        <f>"تسمه پروانه  AX72"</f>
        <v>تسمه پروانه  AX72</v>
      </c>
      <c r="F996" s="3" t="str">
        <f>"حلقه"</f>
        <v>حلقه</v>
      </c>
      <c r="G996" s="3">
        <v>10</v>
      </c>
      <c r="H996" s="5">
        <v>4200000</v>
      </c>
    </row>
    <row r="997" spans="1:8" ht="18.75" x14ac:dyDescent="0.2">
      <c r="A997" s="3" t="str">
        <f t="shared" si="124"/>
        <v>98/11/26</v>
      </c>
      <c r="B997" s="3" t="str">
        <f t="shared" si="125"/>
        <v>كالاهاي مصرفي</v>
      </c>
      <c r="C997" s="3" t="str">
        <f t="shared" si="127"/>
        <v>انبار مصرفي ZU1</v>
      </c>
      <c r="D997" s="3" t="str">
        <f>"0204000209"</f>
        <v>0204000209</v>
      </c>
      <c r="E997" s="3" t="str">
        <f>"تسمه پروانه B70"</f>
        <v>تسمه پروانه B70</v>
      </c>
      <c r="F997" s="3" t="str">
        <f>"حلقه"</f>
        <v>حلقه</v>
      </c>
      <c r="G997" s="3">
        <v>20</v>
      </c>
      <c r="H997" s="5">
        <v>4200000</v>
      </c>
    </row>
    <row r="998" spans="1:8" ht="18.75" x14ac:dyDescent="0.2">
      <c r="A998" s="3" t="str">
        <f t="shared" si="124"/>
        <v>98/11/26</v>
      </c>
      <c r="B998" s="3" t="str">
        <f t="shared" si="125"/>
        <v>كالاهاي مصرفي</v>
      </c>
      <c r="C998" s="3" t="str">
        <f t="shared" si="127"/>
        <v>انبار مصرفي ZU1</v>
      </c>
      <c r="D998" s="3" t="str">
        <f>"0204000626"</f>
        <v>0204000626</v>
      </c>
      <c r="E998" s="3" t="str">
        <f>"واشر اورينگ رزيني 4*(2-)123"</f>
        <v>واشر اورينگ رزيني 4*(2-)123</v>
      </c>
      <c r="F998" s="3" t="str">
        <f t="shared" ref="F998:F1008" si="128">"عدد"</f>
        <v>عدد</v>
      </c>
      <c r="G998" s="3">
        <v>20</v>
      </c>
      <c r="H998" s="5">
        <v>4200000</v>
      </c>
    </row>
    <row r="999" spans="1:8" ht="18.75" x14ac:dyDescent="0.2">
      <c r="A999" s="3" t="str">
        <f t="shared" si="124"/>
        <v>98/11/26</v>
      </c>
      <c r="B999" s="3" t="str">
        <f t="shared" si="125"/>
        <v>كالاهاي مصرفي</v>
      </c>
      <c r="C999" s="3" t="str">
        <f t="shared" si="127"/>
        <v>انبار مصرفي ZU1</v>
      </c>
      <c r="D999" s="3" t="str">
        <f>"0204001643"</f>
        <v>0204001643</v>
      </c>
      <c r="E999" s="3" t="str">
        <f>"بيرينگ 6313"</f>
        <v>بيرينگ 6313</v>
      </c>
      <c r="F999" s="3" t="str">
        <f t="shared" si="128"/>
        <v>عدد</v>
      </c>
      <c r="G999" s="3">
        <v>4</v>
      </c>
      <c r="H999" s="5">
        <v>4200000</v>
      </c>
    </row>
    <row r="1000" spans="1:8" ht="18.75" x14ac:dyDescent="0.2">
      <c r="A1000" s="3" t="str">
        <f t="shared" si="124"/>
        <v>98/11/26</v>
      </c>
      <c r="B1000" s="3" t="str">
        <f t="shared" si="125"/>
        <v>كالاهاي مصرفي</v>
      </c>
      <c r="C1000" s="3" t="str">
        <f t="shared" si="127"/>
        <v>انبار مصرفي ZU1</v>
      </c>
      <c r="D1000" s="3" t="str">
        <f>"0204001685"</f>
        <v>0204001685</v>
      </c>
      <c r="E1000" s="3" t="str">
        <f>"اورينگ HNBR 109*3.5"</f>
        <v>اورينگ HNBR 109*3.5</v>
      </c>
      <c r="F1000" s="3" t="str">
        <f t="shared" si="128"/>
        <v>عدد</v>
      </c>
      <c r="G1000" s="3">
        <v>15</v>
      </c>
      <c r="H1000" s="5">
        <v>4203750</v>
      </c>
    </row>
    <row r="1001" spans="1:8" ht="18.75" x14ac:dyDescent="0.2">
      <c r="A1001" s="3" t="str">
        <f t="shared" si="124"/>
        <v>98/11/26</v>
      </c>
      <c r="B1001" s="3" t="str">
        <f t="shared" si="125"/>
        <v>كالاهاي مصرفي</v>
      </c>
      <c r="C1001" s="3" t="str">
        <f t="shared" si="127"/>
        <v>انبار مصرفي ZU1</v>
      </c>
      <c r="D1001" s="3" t="str">
        <f>"0204001290"</f>
        <v>0204001290</v>
      </c>
      <c r="E1001" s="3" t="str">
        <f>"بيرينگ NU313"</f>
        <v>بيرينگ NU313</v>
      </c>
      <c r="F1001" s="3" t="str">
        <f t="shared" si="128"/>
        <v>عدد</v>
      </c>
      <c r="G1001" s="3">
        <v>3</v>
      </c>
      <c r="H1001" s="5">
        <v>4230000</v>
      </c>
    </row>
    <row r="1002" spans="1:8" ht="18.75" x14ac:dyDescent="0.2">
      <c r="A1002" s="3" t="str">
        <f t="shared" si="124"/>
        <v>98/11/26</v>
      </c>
      <c r="B1002" s="3" t="str">
        <f t="shared" si="125"/>
        <v>كالاهاي مصرفي</v>
      </c>
      <c r="C1002" s="3" t="str">
        <f t="shared" si="127"/>
        <v>انبار مصرفي ZU1</v>
      </c>
      <c r="D1002" s="3" t="str">
        <f>"0213000127"</f>
        <v>0213000127</v>
      </c>
      <c r="E1002" s="3" t="str">
        <f>"واشر قفلي M22"</f>
        <v>واشر قفلي M22</v>
      </c>
      <c r="F1002" s="3" t="str">
        <f t="shared" si="128"/>
        <v>عدد</v>
      </c>
      <c r="G1002" s="3">
        <v>435</v>
      </c>
      <c r="H1002" s="5">
        <v>4241250</v>
      </c>
    </row>
    <row r="1003" spans="1:8" ht="18.75" x14ac:dyDescent="0.2">
      <c r="A1003" s="3" t="str">
        <f t="shared" si="124"/>
        <v>98/11/26</v>
      </c>
      <c r="B1003" s="3" t="str">
        <f t="shared" si="125"/>
        <v>كالاهاي مصرفي</v>
      </c>
      <c r="C1003" s="3" t="str">
        <f t="shared" si="127"/>
        <v>انبار مصرفي ZU1</v>
      </c>
      <c r="D1003" s="3" t="str">
        <f>"0204002306"</f>
        <v>0204002306</v>
      </c>
      <c r="E1003" s="3" t="str">
        <f>"كاسه نمد 10 *110 *80"</f>
        <v>كاسه نمد 10 *110 *80</v>
      </c>
      <c r="F1003" s="3" t="str">
        <f t="shared" si="128"/>
        <v>عدد</v>
      </c>
      <c r="G1003" s="3">
        <v>5</v>
      </c>
      <c r="H1003" s="5">
        <v>4250000</v>
      </c>
    </row>
    <row r="1004" spans="1:8" ht="18.75" x14ac:dyDescent="0.2">
      <c r="A1004" s="3" t="str">
        <f t="shared" si="124"/>
        <v>98/11/26</v>
      </c>
      <c r="B1004" s="3" t="str">
        <f t="shared" si="125"/>
        <v>كالاهاي مصرفي</v>
      </c>
      <c r="C1004" s="3" t="str">
        <f t="shared" si="127"/>
        <v>انبار مصرفي ZU1</v>
      </c>
      <c r="D1004" s="3" t="str">
        <f>"0206000531"</f>
        <v>0206000531</v>
      </c>
      <c r="E1004" s="3" t="str">
        <f>"سه راه تبديل پلي اتيلن 180*315  -16 اتمسفر - 90درجه پي 100"</f>
        <v>سه راه تبديل پلي اتيلن 180*315  -16 اتمسفر - 90درجه پي 100</v>
      </c>
      <c r="F1004" s="3" t="str">
        <f t="shared" si="128"/>
        <v>عدد</v>
      </c>
      <c r="G1004" s="3">
        <v>1</v>
      </c>
      <c r="H1004" s="5">
        <v>4250000</v>
      </c>
    </row>
    <row r="1005" spans="1:8" ht="18.75" x14ac:dyDescent="0.2">
      <c r="A1005" s="3" t="str">
        <f t="shared" si="124"/>
        <v>98/11/26</v>
      </c>
      <c r="B1005" s="3" t="str">
        <f t="shared" si="125"/>
        <v>كالاهاي مصرفي</v>
      </c>
      <c r="C1005" s="3" t="str">
        <f t="shared" si="127"/>
        <v>انبار مصرفي ZU1</v>
      </c>
      <c r="D1005" s="3" t="str">
        <f>"0206000532"</f>
        <v>0206000532</v>
      </c>
      <c r="E1005" s="3" t="str">
        <f>"سه راه تبديل پلي اتيلن 250*315  -16 اتمسفر - 90درجه پي 100"</f>
        <v>سه راه تبديل پلي اتيلن 250*315  -16 اتمسفر - 90درجه پي 100</v>
      </c>
      <c r="F1005" s="3" t="str">
        <f t="shared" si="128"/>
        <v>عدد</v>
      </c>
      <c r="G1005" s="3">
        <v>1</v>
      </c>
      <c r="H1005" s="5">
        <v>4250000</v>
      </c>
    </row>
    <row r="1006" spans="1:8" ht="18.75" x14ac:dyDescent="0.2">
      <c r="A1006" s="3" t="str">
        <f t="shared" si="124"/>
        <v>98/11/26</v>
      </c>
      <c r="B1006" s="3" t="str">
        <f t="shared" si="125"/>
        <v>كالاهاي مصرفي</v>
      </c>
      <c r="C1006" s="3" t="str">
        <f t="shared" si="127"/>
        <v>انبار مصرفي ZU1</v>
      </c>
      <c r="D1006" s="3" t="str">
        <f>"0204001300"</f>
        <v>0204001300</v>
      </c>
      <c r="E1006" s="3" t="str">
        <f>"اورينگ HNBR 65*5.8"</f>
        <v>اورينگ HNBR 65*5.8</v>
      </c>
      <c r="F1006" s="3" t="str">
        <f t="shared" si="128"/>
        <v>عدد</v>
      </c>
      <c r="G1006" s="3">
        <v>19</v>
      </c>
      <c r="H1006" s="5">
        <v>4256000</v>
      </c>
    </row>
    <row r="1007" spans="1:8" ht="18.75" x14ac:dyDescent="0.2">
      <c r="A1007" s="3" t="str">
        <f t="shared" si="124"/>
        <v>98/11/26</v>
      </c>
      <c r="B1007" s="3" t="str">
        <f t="shared" si="125"/>
        <v>كالاهاي مصرفي</v>
      </c>
      <c r="C1007" s="3" t="str">
        <f t="shared" si="127"/>
        <v>انبار مصرفي ZU1</v>
      </c>
      <c r="D1007" s="3" t="str">
        <f>"0204000711"</f>
        <v>0204000711</v>
      </c>
      <c r="E1007" s="3" t="str">
        <f>"كاسه نمد Mild Steel 55*80*7 AIB"</f>
        <v>كاسه نمد Mild Steel 55*80*7 AIB</v>
      </c>
      <c r="F1007" s="3" t="str">
        <f t="shared" si="128"/>
        <v>عدد</v>
      </c>
      <c r="G1007" s="3">
        <v>10</v>
      </c>
      <c r="H1007" s="5">
        <v>4260000</v>
      </c>
    </row>
    <row r="1008" spans="1:8" ht="18.75" x14ac:dyDescent="0.2">
      <c r="A1008" s="3" t="str">
        <f t="shared" si="124"/>
        <v>98/11/26</v>
      </c>
      <c r="B1008" s="3" t="str">
        <f t="shared" si="125"/>
        <v>كالاهاي مصرفي</v>
      </c>
      <c r="C1008" s="3" t="str">
        <f t="shared" si="127"/>
        <v>انبار مصرفي ZU1</v>
      </c>
      <c r="D1008" s="3" t="str">
        <f>"0204001895"</f>
        <v>0204001895</v>
      </c>
      <c r="E1008" s="3" t="str">
        <f>"كاسه نمد Mild Stee 45*60*7 AIB"</f>
        <v>كاسه نمد Mild Stee 45*60*7 AIB</v>
      </c>
      <c r="F1008" s="3" t="str">
        <f t="shared" si="128"/>
        <v>عدد</v>
      </c>
      <c r="G1008" s="3">
        <v>10</v>
      </c>
      <c r="H1008" s="5">
        <v>4260000</v>
      </c>
    </row>
    <row r="1009" spans="1:8" ht="18.75" x14ac:dyDescent="0.2">
      <c r="A1009" s="3" t="str">
        <f t="shared" si="124"/>
        <v>98/11/26</v>
      </c>
      <c r="B1009" s="3" t="str">
        <f t="shared" si="125"/>
        <v>كالاهاي مصرفي</v>
      </c>
      <c r="C1009" s="3" t="str">
        <f t="shared" si="127"/>
        <v>انبار مصرفي ZU1</v>
      </c>
      <c r="D1009" s="3" t="str">
        <f>"0203000116"</f>
        <v>0203000116</v>
      </c>
      <c r="E1009" s="3" t="str">
        <f>"آچار ال ستاره اي"</f>
        <v>آچار ال ستاره اي</v>
      </c>
      <c r="F1009" s="3" t="str">
        <f>"دست"</f>
        <v>دست</v>
      </c>
      <c r="G1009" s="3">
        <v>7</v>
      </c>
      <c r="H1009" s="5">
        <v>4295455</v>
      </c>
    </row>
    <row r="1010" spans="1:8" ht="18.75" x14ac:dyDescent="0.2">
      <c r="A1010" s="3" t="str">
        <f t="shared" si="124"/>
        <v>98/11/26</v>
      </c>
      <c r="B1010" s="3" t="str">
        <f t="shared" si="125"/>
        <v>كالاهاي مصرفي</v>
      </c>
      <c r="C1010" s="3" t="str">
        <f t="shared" si="127"/>
        <v>انبار مصرفي ZU1</v>
      </c>
      <c r="D1010" s="3" t="str">
        <f>"0204001221"</f>
        <v>0204001221</v>
      </c>
      <c r="E1010" s="3" t="str">
        <f>"بيرينگ 32207 J2/Q"</f>
        <v>بيرينگ 32207 J2/Q</v>
      </c>
      <c r="F1010" s="3" t="str">
        <f>"عدد"</f>
        <v>عدد</v>
      </c>
      <c r="G1010" s="3">
        <v>8</v>
      </c>
      <c r="H1010" s="5">
        <v>4320000</v>
      </c>
    </row>
    <row r="1011" spans="1:8" ht="18.75" x14ac:dyDescent="0.2">
      <c r="A1011" s="3" t="str">
        <f t="shared" si="124"/>
        <v>98/11/26</v>
      </c>
      <c r="B1011" s="3" t="str">
        <f t="shared" si="125"/>
        <v>كالاهاي مصرفي</v>
      </c>
      <c r="C1011" s="3" t="str">
        <f t="shared" si="127"/>
        <v>انبار مصرفي ZU1</v>
      </c>
      <c r="D1011" s="3" t="str">
        <f>"0213000596"</f>
        <v>0213000596</v>
      </c>
      <c r="E1011" s="3" t="str">
        <f>"پوساب P600 معمولي"</f>
        <v>پوساب P600 معمولي</v>
      </c>
      <c r="F1011" s="3" t="str">
        <f>"برگ"</f>
        <v>برگ</v>
      </c>
      <c r="G1011" s="3">
        <v>150</v>
      </c>
      <c r="H1011" s="5">
        <v>4335000</v>
      </c>
    </row>
    <row r="1012" spans="1:8" ht="18.75" x14ac:dyDescent="0.2">
      <c r="A1012" s="3" t="str">
        <f t="shared" si="124"/>
        <v>98/11/26</v>
      </c>
      <c r="B1012" s="3" t="str">
        <f t="shared" si="125"/>
        <v>كالاهاي مصرفي</v>
      </c>
      <c r="C1012" s="3" t="str">
        <f>"انبار مركزي ( عمومي )"</f>
        <v>انبار مركزي ( عمومي )</v>
      </c>
      <c r="D1012" s="3" t="str">
        <f>"0213000596"</f>
        <v>0213000596</v>
      </c>
      <c r="E1012" s="3" t="str">
        <f>"پوساب P600 معمولي"</f>
        <v>پوساب P600 معمولي</v>
      </c>
      <c r="F1012" s="3" t="str">
        <f>"برگ"</f>
        <v>برگ</v>
      </c>
      <c r="G1012" s="3">
        <v>150</v>
      </c>
      <c r="H1012" s="5">
        <v>4335000</v>
      </c>
    </row>
    <row r="1013" spans="1:8" ht="18.75" x14ac:dyDescent="0.2">
      <c r="A1013" s="3" t="str">
        <f t="shared" si="124"/>
        <v>98/11/26</v>
      </c>
      <c r="B1013" s="3" t="str">
        <f t="shared" si="125"/>
        <v>كالاهاي مصرفي</v>
      </c>
      <c r="C1013" s="3" t="str">
        <f t="shared" ref="C1013:C1021" si="129">"انبار مصرفي ZU1"</f>
        <v>انبار مصرفي ZU1</v>
      </c>
      <c r="D1013" s="3" t="str">
        <f>"0204001804"</f>
        <v>0204001804</v>
      </c>
      <c r="E1013" s="3" t="str">
        <f>"بيرينگ 32306J2/Q"</f>
        <v>بيرينگ 32306J2/Q</v>
      </c>
      <c r="F1013" s="3" t="str">
        <f>"عدد"</f>
        <v>عدد</v>
      </c>
      <c r="G1013" s="3">
        <v>7</v>
      </c>
      <c r="H1013" s="5">
        <v>4340000</v>
      </c>
    </row>
    <row r="1014" spans="1:8" ht="18.75" x14ac:dyDescent="0.2">
      <c r="A1014" s="3" t="str">
        <f t="shared" si="124"/>
        <v>98/11/26</v>
      </c>
      <c r="B1014" s="3" t="str">
        <f t="shared" si="125"/>
        <v>كالاهاي مصرفي</v>
      </c>
      <c r="C1014" s="3" t="str">
        <f t="shared" si="129"/>
        <v>انبار مصرفي ZU1</v>
      </c>
      <c r="D1014" s="3" t="str">
        <f>"0204001320"</f>
        <v>0204001320</v>
      </c>
      <c r="E1014" s="3" t="str">
        <f>"اورينگ HNBR 150*5.5"</f>
        <v>اورينگ HNBR 150*5.5</v>
      </c>
      <c r="F1014" s="3" t="str">
        <f>"عدد"</f>
        <v>عدد</v>
      </c>
      <c r="G1014" s="3">
        <v>17</v>
      </c>
      <c r="H1014" s="5">
        <v>4369000</v>
      </c>
    </row>
    <row r="1015" spans="1:8" ht="18.75" x14ac:dyDescent="0.2">
      <c r="A1015" s="3" t="str">
        <f t="shared" si="124"/>
        <v>98/11/26</v>
      </c>
      <c r="B1015" s="3" t="str">
        <f t="shared" si="125"/>
        <v>كالاهاي مصرفي</v>
      </c>
      <c r="C1015" s="3" t="str">
        <f t="shared" si="129"/>
        <v>انبار مصرفي ZU1</v>
      </c>
      <c r="D1015" s="3" t="str">
        <f>"0105000152"</f>
        <v>0105000152</v>
      </c>
      <c r="E1015" s="3" t="str">
        <f>"ثابت کننده رزوه ( Loctate 222 )"</f>
        <v>ثابت کننده رزوه ( Loctate 222 )</v>
      </c>
      <c r="F1015" s="3" t="str">
        <f>"عدد"</f>
        <v>عدد</v>
      </c>
      <c r="G1015" s="3">
        <v>8</v>
      </c>
      <c r="H1015" s="5">
        <v>4400000</v>
      </c>
    </row>
    <row r="1016" spans="1:8" ht="18.75" x14ac:dyDescent="0.2">
      <c r="A1016" s="3" t="str">
        <f t="shared" si="124"/>
        <v>98/11/26</v>
      </c>
      <c r="B1016" s="3" t="str">
        <f t="shared" si="125"/>
        <v>كالاهاي مصرفي</v>
      </c>
      <c r="C1016" s="3" t="str">
        <f t="shared" si="129"/>
        <v>انبار مصرفي ZU1</v>
      </c>
      <c r="D1016" s="3" t="str">
        <f>"0204000221"</f>
        <v>0204000221</v>
      </c>
      <c r="E1016" s="3" t="str">
        <f>"تسمه پروانه B72"</f>
        <v>تسمه پروانه B72</v>
      </c>
      <c r="F1016" s="3" t="str">
        <f>"حلقه"</f>
        <v>حلقه</v>
      </c>
      <c r="G1016" s="3">
        <v>20</v>
      </c>
      <c r="H1016" s="5">
        <v>4400000</v>
      </c>
    </row>
    <row r="1017" spans="1:8" ht="18.75" x14ac:dyDescent="0.2">
      <c r="A1017" s="3" t="str">
        <f t="shared" si="124"/>
        <v>98/11/26</v>
      </c>
      <c r="B1017" s="3" t="str">
        <f t="shared" si="125"/>
        <v>كالاهاي مصرفي</v>
      </c>
      <c r="C1017" s="3" t="str">
        <f t="shared" si="129"/>
        <v>انبار مصرفي ZU1</v>
      </c>
      <c r="D1017" s="3" t="str">
        <f>"0204000670"</f>
        <v>0204000670</v>
      </c>
      <c r="E1017" s="3" t="str">
        <f>"واشر اورينگ رزيني NBR 100( -2) X 5.8"</f>
        <v>واشر اورينگ رزيني NBR 100( -2) X 5.8</v>
      </c>
      <c r="F1017" s="3" t="str">
        <f>"عدد"</f>
        <v>عدد</v>
      </c>
      <c r="G1017" s="3">
        <v>20</v>
      </c>
      <c r="H1017" s="5">
        <v>4400000</v>
      </c>
    </row>
    <row r="1018" spans="1:8" ht="18.75" x14ac:dyDescent="0.2">
      <c r="A1018" s="3" t="str">
        <f t="shared" si="124"/>
        <v>98/11/26</v>
      </c>
      <c r="B1018" s="3" t="str">
        <f t="shared" si="125"/>
        <v>كالاهاي مصرفي</v>
      </c>
      <c r="C1018" s="3" t="str">
        <f t="shared" si="129"/>
        <v>انبار مصرفي ZU1</v>
      </c>
      <c r="D1018" s="3" t="str">
        <f>"0204001716"</f>
        <v>0204001716</v>
      </c>
      <c r="E1018" s="3" t="str">
        <f>"بيرينگ 3212A TN9"</f>
        <v>بيرينگ 3212A TN9</v>
      </c>
      <c r="F1018" s="3" t="str">
        <f>"عدد"</f>
        <v>عدد</v>
      </c>
      <c r="G1018" s="3">
        <v>2</v>
      </c>
      <c r="H1018" s="5">
        <v>4400000</v>
      </c>
    </row>
    <row r="1019" spans="1:8" ht="18.75" x14ac:dyDescent="0.2">
      <c r="A1019" s="3" t="str">
        <f t="shared" si="124"/>
        <v>98/11/26</v>
      </c>
      <c r="B1019" s="3" t="str">
        <f t="shared" si="125"/>
        <v>كالاهاي مصرفي</v>
      </c>
      <c r="C1019" s="3" t="str">
        <f t="shared" si="129"/>
        <v>انبار مصرفي ZU1</v>
      </c>
      <c r="D1019" s="3" t="str">
        <f>"0204001759"</f>
        <v>0204001759</v>
      </c>
      <c r="E1019" s="3" t="str">
        <f>"اورينگ وايتون ضخامت 3 ميليمتر"</f>
        <v>اورينگ وايتون ضخامت 3 ميليمتر</v>
      </c>
      <c r="F1019" s="3" t="str">
        <f>"متر"</f>
        <v>متر</v>
      </c>
      <c r="G1019" s="3">
        <v>20</v>
      </c>
      <c r="H1019" s="5">
        <v>4400000</v>
      </c>
    </row>
    <row r="1020" spans="1:8" ht="18.75" x14ac:dyDescent="0.2">
      <c r="A1020" s="3" t="str">
        <f t="shared" si="124"/>
        <v>98/11/26</v>
      </c>
      <c r="B1020" s="3" t="str">
        <f t="shared" si="125"/>
        <v>كالاهاي مصرفي</v>
      </c>
      <c r="C1020" s="3" t="str">
        <f t="shared" si="129"/>
        <v>انبار مصرفي ZU1</v>
      </c>
      <c r="D1020" s="3" t="str">
        <f>"0213000768"</f>
        <v>0213000768</v>
      </c>
      <c r="E1020" s="3" t="str">
        <f>"ميخ پرچ نمره 4"</f>
        <v>ميخ پرچ نمره 4</v>
      </c>
      <c r="F1020" s="3" t="str">
        <f>"بسته"</f>
        <v>بسته</v>
      </c>
      <c r="G1020" s="3">
        <v>21</v>
      </c>
      <c r="H1020" s="5">
        <v>4402088</v>
      </c>
    </row>
    <row r="1021" spans="1:8" ht="18.75" x14ac:dyDescent="0.2">
      <c r="A1021" s="3" t="str">
        <f t="shared" si="124"/>
        <v>98/11/26</v>
      </c>
      <c r="B1021" s="3" t="str">
        <f t="shared" si="125"/>
        <v>كالاهاي مصرفي</v>
      </c>
      <c r="C1021" s="3" t="str">
        <f t="shared" si="129"/>
        <v>انبار مصرفي ZU1</v>
      </c>
      <c r="D1021" s="3" t="str">
        <f>"0213000174"</f>
        <v>0213000174</v>
      </c>
      <c r="E1021" s="3" t="str">
        <f>"واشر تخت M40"</f>
        <v>واشر تخت M40</v>
      </c>
      <c r="F1021" s="3" t="str">
        <f t="shared" ref="F1021:F1035" si="130">"عدد"</f>
        <v>عدد</v>
      </c>
      <c r="G1021" s="3">
        <v>500</v>
      </c>
      <c r="H1021" s="5">
        <v>4402500</v>
      </c>
    </row>
    <row r="1022" spans="1:8" ht="18.75" x14ac:dyDescent="0.2">
      <c r="A1022" s="3" t="str">
        <f t="shared" si="124"/>
        <v>98/11/26</v>
      </c>
      <c r="B1022" s="3" t="str">
        <f t="shared" si="125"/>
        <v>كالاهاي مصرفي</v>
      </c>
      <c r="C1022" s="3" t="str">
        <f>"انبار مركزي ( عمومي )"</f>
        <v>انبار مركزي ( عمومي )</v>
      </c>
      <c r="D1022" s="3" t="str">
        <f>"0213000775"</f>
        <v>0213000775</v>
      </c>
      <c r="E1022" s="3" t="str">
        <f>"مته آهن نمره 6"</f>
        <v>مته آهن نمره 6</v>
      </c>
      <c r="F1022" s="3" t="str">
        <f t="shared" si="130"/>
        <v>عدد</v>
      </c>
      <c r="G1022" s="3">
        <v>55</v>
      </c>
      <c r="H1022" s="5">
        <v>4407364</v>
      </c>
    </row>
    <row r="1023" spans="1:8" ht="18.75" x14ac:dyDescent="0.2">
      <c r="A1023" s="3" t="str">
        <f t="shared" si="124"/>
        <v>98/11/26</v>
      </c>
      <c r="B1023" s="3" t="str">
        <f t="shared" si="125"/>
        <v>كالاهاي مصرفي</v>
      </c>
      <c r="C1023" s="3" t="str">
        <f>"انبار مصرفي ZU1"</f>
        <v>انبار مصرفي ZU1</v>
      </c>
      <c r="D1023" s="3" t="str">
        <f>"0204001385"</f>
        <v>0204001385</v>
      </c>
      <c r="E1023" s="3" t="str">
        <f>"اورينگ HNBR 85*6"</f>
        <v>اورينگ HNBR 85*6</v>
      </c>
      <c r="F1023" s="3" t="str">
        <f t="shared" si="130"/>
        <v>عدد</v>
      </c>
      <c r="G1023" s="3">
        <v>19</v>
      </c>
      <c r="H1023" s="5">
        <v>4427000</v>
      </c>
    </row>
    <row r="1024" spans="1:8" ht="18.75" x14ac:dyDescent="0.2">
      <c r="A1024" s="3" t="str">
        <f t="shared" si="124"/>
        <v>98/11/26</v>
      </c>
      <c r="B1024" s="3" t="str">
        <f t="shared" si="125"/>
        <v>كالاهاي مصرفي</v>
      </c>
      <c r="C1024" s="3" t="str">
        <f>"انبار مصرفي ZU1"</f>
        <v>انبار مصرفي ZU1</v>
      </c>
      <c r="D1024" s="3" t="str">
        <f>"0204001669"</f>
        <v>0204001669</v>
      </c>
      <c r="E1024" s="3" t="str">
        <f>"اورينگ HNBR 30*2"</f>
        <v>اورينگ HNBR 30*2</v>
      </c>
      <c r="F1024" s="3" t="str">
        <f t="shared" si="130"/>
        <v>عدد</v>
      </c>
      <c r="G1024" s="3">
        <v>29</v>
      </c>
      <c r="H1024" s="5">
        <v>4458750</v>
      </c>
    </row>
    <row r="1025" spans="1:8" ht="18.75" x14ac:dyDescent="0.2">
      <c r="A1025" s="3" t="str">
        <f t="shared" si="124"/>
        <v>98/11/26</v>
      </c>
      <c r="B1025" s="3" t="str">
        <f t="shared" si="125"/>
        <v>كالاهاي مصرفي</v>
      </c>
      <c r="C1025" s="3" t="str">
        <f>"انبار مصرفي ZU1"</f>
        <v>انبار مصرفي ZU1</v>
      </c>
      <c r="D1025" s="3" t="str">
        <f>"0203000074"</f>
        <v>0203000074</v>
      </c>
      <c r="E1025" s="3" t="str">
        <f>"تيغ اره لنگ 2 *4 *450"</f>
        <v>تيغ اره لنگ 2 *4 *450</v>
      </c>
      <c r="F1025" s="3" t="str">
        <f t="shared" si="130"/>
        <v>عدد</v>
      </c>
      <c r="G1025" s="3">
        <v>8</v>
      </c>
      <c r="H1025" s="5">
        <v>4480000</v>
      </c>
    </row>
    <row r="1026" spans="1:8" ht="18.75" x14ac:dyDescent="0.2">
      <c r="A1026" s="3" t="str">
        <f t="shared" ref="A1026:A1089" si="131">"98/11/26"</f>
        <v>98/11/26</v>
      </c>
      <c r="B1026" s="3" t="str">
        <f t="shared" ref="B1026:B1089" si="132">"كالاهاي مصرفي"</f>
        <v>كالاهاي مصرفي</v>
      </c>
      <c r="C1026" s="3" t="str">
        <f>"انبار مركزي ( عمومي )"</f>
        <v>انبار مركزي ( عمومي )</v>
      </c>
      <c r="D1026" s="3" t="str">
        <f>"0203000024"</f>
        <v>0203000024</v>
      </c>
      <c r="E1026" s="3" t="str">
        <f>"پيچ گوشتي ترمينالي عايقي چهارسو"</f>
        <v>پيچ گوشتي ترمينالي عايقي چهارسو</v>
      </c>
      <c r="F1026" s="3" t="str">
        <f t="shared" si="130"/>
        <v>عدد</v>
      </c>
      <c r="G1026" s="3">
        <v>38</v>
      </c>
      <c r="H1026" s="5">
        <v>4490297</v>
      </c>
    </row>
    <row r="1027" spans="1:8" ht="18.75" x14ac:dyDescent="0.2">
      <c r="A1027" s="3" t="str">
        <f t="shared" si="131"/>
        <v>98/11/26</v>
      </c>
      <c r="B1027" s="3" t="str">
        <f t="shared" si="132"/>
        <v>كالاهاي مصرفي</v>
      </c>
      <c r="C1027" s="3" t="str">
        <f>"انبار مركزي ( عمومي )"</f>
        <v>انبار مركزي ( عمومي )</v>
      </c>
      <c r="D1027" s="3" t="str">
        <f>"0202000020"</f>
        <v>0202000020</v>
      </c>
      <c r="E1027" s="3" t="str">
        <f>"كليد تك پل تو كار"</f>
        <v>كليد تك پل تو كار</v>
      </c>
      <c r="F1027" s="3" t="str">
        <f t="shared" si="130"/>
        <v>عدد</v>
      </c>
      <c r="G1027" s="3">
        <v>30</v>
      </c>
      <c r="H1027" s="5">
        <v>4500000</v>
      </c>
    </row>
    <row r="1028" spans="1:8" ht="18.75" x14ac:dyDescent="0.2">
      <c r="A1028" s="3" t="str">
        <f t="shared" si="131"/>
        <v>98/11/26</v>
      </c>
      <c r="B1028" s="3" t="str">
        <f t="shared" si="132"/>
        <v>كالاهاي مصرفي</v>
      </c>
      <c r="C1028" s="3" t="str">
        <f>"انبار مصرفي ZU1"</f>
        <v>انبار مصرفي ZU1</v>
      </c>
      <c r="D1028" s="3" t="str">
        <f>"0204001227"</f>
        <v>0204001227</v>
      </c>
      <c r="E1028" s="3" t="str">
        <f>"بيرينگ NU208"</f>
        <v>بيرينگ NU208</v>
      </c>
      <c r="F1028" s="3" t="str">
        <f t="shared" si="130"/>
        <v>عدد</v>
      </c>
      <c r="G1028" s="3">
        <v>1</v>
      </c>
      <c r="H1028" s="5">
        <v>4500000</v>
      </c>
    </row>
    <row r="1029" spans="1:8" ht="18.75" x14ac:dyDescent="0.2">
      <c r="A1029" s="3" t="str">
        <f t="shared" si="131"/>
        <v>98/11/26</v>
      </c>
      <c r="B1029" s="3" t="str">
        <f t="shared" si="132"/>
        <v>كالاهاي مصرفي</v>
      </c>
      <c r="C1029" s="3" t="str">
        <f>"انبار مصرفي ZU1"</f>
        <v>انبار مصرفي ZU1</v>
      </c>
      <c r="D1029" s="3" t="str">
        <f>"0204002003"</f>
        <v>0204002003</v>
      </c>
      <c r="E1029" s="3" t="str">
        <f>"چسب اورينگ دو جزيي با پرايمر A voBOUND"</f>
        <v>چسب اورينگ دو جزيي با پرايمر A voBOUND</v>
      </c>
      <c r="F1029" s="3" t="str">
        <f t="shared" si="130"/>
        <v>عدد</v>
      </c>
      <c r="G1029" s="3">
        <v>15</v>
      </c>
      <c r="H1029" s="5">
        <v>4500000</v>
      </c>
    </row>
    <row r="1030" spans="1:8" ht="18.75" x14ac:dyDescent="0.2">
      <c r="A1030" s="3" t="str">
        <f t="shared" si="131"/>
        <v>98/11/26</v>
      </c>
      <c r="B1030" s="3" t="str">
        <f t="shared" si="132"/>
        <v>كالاهاي مصرفي</v>
      </c>
      <c r="C1030" s="3" t="str">
        <f>"انبار مصرفي ZU1"</f>
        <v>انبار مصرفي ZU1</v>
      </c>
      <c r="D1030" s="3" t="str">
        <f>"0204002114"</f>
        <v>0204002114</v>
      </c>
      <c r="E1030" s="3" t="str">
        <f>"واشر اسپيرال 150*140*4.5"</f>
        <v>واشر اسپيرال 150*140*4.5</v>
      </c>
      <c r="F1030" s="3" t="str">
        <f t="shared" si="130"/>
        <v>عدد</v>
      </c>
      <c r="G1030" s="3">
        <v>15</v>
      </c>
      <c r="H1030" s="5">
        <v>4500000</v>
      </c>
    </row>
    <row r="1031" spans="1:8" ht="18.75" x14ac:dyDescent="0.2">
      <c r="A1031" s="3" t="str">
        <f t="shared" si="131"/>
        <v>98/11/26</v>
      </c>
      <c r="B1031" s="3" t="str">
        <f t="shared" si="132"/>
        <v>كالاهاي مصرفي</v>
      </c>
      <c r="C1031" s="3" t="str">
        <f>"انبار مصرفي ZU1"</f>
        <v>انبار مصرفي ZU1</v>
      </c>
      <c r="D1031" s="3" t="str">
        <f>"0206000530"</f>
        <v>0206000530</v>
      </c>
      <c r="E1031" s="3" t="str">
        <f>"سه راه تبديل پلي اتيلن 125*315  -16 اتمسفر - 90درجه پي 100"</f>
        <v>سه راه تبديل پلي اتيلن 125*315  -16 اتمسفر - 90درجه پي 100</v>
      </c>
      <c r="F1031" s="3" t="str">
        <f t="shared" si="130"/>
        <v>عدد</v>
      </c>
      <c r="G1031" s="3">
        <v>1</v>
      </c>
      <c r="H1031" s="5">
        <v>4500000</v>
      </c>
    </row>
    <row r="1032" spans="1:8" ht="18.75" x14ac:dyDescent="0.2">
      <c r="A1032" s="3" t="str">
        <f t="shared" si="131"/>
        <v>98/11/26</v>
      </c>
      <c r="B1032" s="3" t="str">
        <f t="shared" si="132"/>
        <v>كالاهاي مصرفي</v>
      </c>
      <c r="C1032" s="3" t="str">
        <f>"انبار مركزي ( عمومي )"</f>
        <v>انبار مركزي ( عمومي )</v>
      </c>
      <c r="D1032" s="3" t="str">
        <f>"0211002331"</f>
        <v>0211002331</v>
      </c>
      <c r="E1032" s="3" t="str">
        <f>"ميكروسوييچ فشاري"</f>
        <v>ميكروسوييچ فشاري</v>
      </c>
      <c r="F1032" s="3" t="str">
        <f t="shared" si="130"/>
        <v>عدد</v>
      </c>
      <c r="G1032" s="3">
        <v>6</v>
      </c>
      <c r="H1032" s="5">
        <v>4500000</v>
      </c>
    </row>
    <row r="1033" spans="1:8" ht="18.75" x14ac:dyDescent="0.2">
      <c r="A1033" s="3" t="str">
        <f t="shared" si="131"/>
        <v>98/11/26</v>
      </c>
      <c r="B1033" s="3" t="str">
        <f t="shared" si="132"/>
        <v>كالاهاي مصرفي</v>
      </c>
      <c r="C1033" s="3" t="str">
        <f>"انبار مركزي ( عمومي )"</f>
        <v>انبار مركزي ( عمومي )</v>
      </c>
      <c r="D1033" s="3" t="str">
        <f>"0213000543"</f>
        <v>0213000543</v>
      </c>
      <c r="E1033" s="3" t="str">
        <f>"صفحه سنگ گرانيت بر"</f>
        <v>صفحه سنگ گرانيت بر</v>
      </c>
      <c r="F1033" s="3" t="str">
        <f t="shared" si="130"/>
        <v>عدد</v>
      </c>
      <c r="G1033" s="3">
        <v>5</v>
      </c>
      <c r="H1033" s="5">
        <v>4500000</v>
      </c>
    </row>
    <row r="1034" spans="1:8" ht="18.75" x14ac:dyDescent="0.2">
      <c r="A1034" s="3" t="str">
        <f t="shared" si="131"/>
        <v>98/11/26</v>
      </c>
      <c r="B1034" s="3" t="str">
        <f t="shared" si="132"/>
        <v>كالاهاي مصرفي</v>
      </c>
      <c r="C1034" s="3" t="str">
        <f>"انبار مركزي ( عمومي )"</f>
        <v>انبار مركزي ( عمومي )</v>
      </c>
      <c r="D1034" s="3" t="str">
        <f>"0404000011"</f>
        <v>0404000011</v>
      </c>
      <c r="E1034" s="3" t="str">
        <f>"شارژر باطري نيم قلمي"</f>
        <v>شارژر باطري نيم قلمي</v>
      </c>
      <c r="F1034" s="3" t="str">
        <f t="shared" si="130"/>
        <v>عدد</v>
      </c>
      <c r="G1034" s="3">
        <v>9</v>
      </c>
      <c r="H1034" s="5">
        <v>4500000</v>
      </c>
    </row>
    <row r="1035" spans="1:8" ht="18.75" x14ac:dyDescent="0.2">
      <c r="A1035" s="3" t="str">
        <f t="shared" si="131"/>
        <v>98/11/26</v>
      </c>
      <c r="B1035" s="3" t="str">
        <f t="shared" si="132"/>
        <v>كالاهاي مصرفي</v>
      </c>
      <c r="C1035" s="3" t="str">
        <f>"انبار مصرفي ZU1"</f>
        <v>انبار مصرفي ZU1</v>
      </c>
      <c r="D1035" s="3" t="str">
        <f>"0206000518"</f>
        <v>0206000518</v>
      </c>
      <c r="E1035" s="3" t="str">
        <f>"زانو پلي اتيلن 45*315 - 16 بار- پي 100"</f>
        <v>زانو پلي اتيلن 45*315 - 16 بار- پي 100</v>
      </c>
      <c r="F1035" s="3" t="str">
        <f t="shared" si="130"/>
        <v>عدد</v>
      </c>
      <c r="G1035" s="3">
        <v>1</v>
      </c>
      <c r="H1035" s="5">
        <v>4520507</v>
      </c>
    </row>
    <row r="1036" spans="1:8" ht="18.75" x14ac:dyDescent="0.2">
      <c r="A1036" s="3" t="str">
        <f t="shared" si="131"/>
        <v>98/11/26</v>
      </c>
      <c r="B1036" s="3" t="str">
        <f t="shared" si="132"/>
        <v>كالاهاي مصرفي</v>
      </c>
      <c r="C1036" s="3" t="str">
        <f>"انبار مصرفي ZU1"</f>
        <v>انبار مصرفي ZU1</v>
      </c>
      <c r="D1036" s="3" t="str">
        <f>"0213000818"</f>
        <v>0213000818</v>
      </c>
      <c r="E1036" s="3" t="str">
        <f>"پوساب P120 معمولي"</f>
        <v>پوساب P120 معمولي</v>
      </c>
      <c r="F1036" s="3" t="str">
        <f>"برگ"</f>
        <v>برگ</v>
      </c>
      <c r="G1036" s="3">
        <v>160</v>
      </c>
      <c r="H1036" s="5">
        <v>4556105</v>
      </c>
    </row>
    <row r="1037" spans="1:8" ht="18.75" x14ac:dyDescent="0.2">
      <c r="A1037" s="3" t="str">
        <f t="shared" si="131"/>
        <v>98/11/26</v>
      </c>
      <c r="B1037" s="3" t="str">
        <f t="shared" si="132"/>
        <v>كالاهاي مصرفي</v>
      </c>
      <c r="C1037" s="3" t="str">
        <f>"انبار مركزي ( عمومي )"</f>
        <v>انبار مركزي ( عمومي )</v>
      </c>
      <c r="D1037" s="3" t="str">
        <f>"0203000003"</f>
        <v>0203000003</v>
      </c>
      <c r="E1037" s="3" t="str">
        <f>"آچار لوله گير كلاغي 1.1/2 اينچ"</f>
        <v>آچار لوله گير كلاغي 1.1/2 اينچ</v>
      </c>
      <c r="F1037" s="3" t="str">
        <f>"عدد"</f>
        <v>عدد</v>
      </c>
      <c r="G1037" s="3">
        <v>6</v>
      </c>
      <c r="H1037" s="5">
        <v>4600000</v>
      </c>
    </row>
    <row r="1038" spans="1:8" ht="18.75" x14ac:dyDescent="0.2">
      <c r="A1038" s="3" t="str">
        <f t="shared" si="131"/>
        <v>98/11/26</v>
      </c>
      <c r="B1038" s="3" t="str">
        <f t="shared" si="132"/>
        <v>كالاهاي مصرفي</v>
      </c>
      <c r="C1038" s="3" t="str">
        <f>"انبار مركزي ( عمومي )"</f>
        <v>انبار مركزي ( عمومي )</v>
      </c>
      <c r="D1038" s="3" t="str">
        <f>"0206000677"</f>
        <v>0206000677</v>
      </c>
      <c r="E1038" s="3" t="str">
        <f>"زانو پلي اتيلن 90 درجه 12 اينچ 20 ميل"</f>
        <v>زانو پلي اتيلن 90 درجه 12 اينچ 20 ميل</v>
      </c>
      <c r="F1038" s="3" t="str">
        <f>"عدد"</f>
        <v>عدد</v>
      </c>
      <c r="G1038" s="3">
        <v>5</v>
      </c>
      <c r="H1038" s="5">
        <v>4671429</v>
      </c>
    </row>
    <row r="1039" spans="1:8" ht="18.75" x14ac:dyDescent="0.2">
      <c r="A1039" s="3" t="str">
        <f t="shared" si="131"/>
        <v>98/11/26</v>
      </c>
      <c r="B1039" s="3" t="str">
        <f t="shared" si="132"/>
        <v>كالاهاي مصرفي</v>
      </c>
      <c r="C1039" s="3" t="str">
        <f>"انبار مصرفي ZU1"</f>
        <v>انبار مصرفي ZU1</v>
      </c>
      <c r="D1039" s="3" t="str">
        <f>"0204001373"</f>
        <v>0204001373</v>
      </c>
      <c r="E1039" s="3" t="str">
        <f>"اورينگ HNBR 123*4"</f>
        <v>اورينگ HNBR 123*4</v>
      </c>
      <c r="F1039" s="3" t="str">
        <f>"عدد"</f>
        <v>عدد</v>
      </c>
      <c r="G1039" s="3">
        <v>17</v>
      </c>
      <c r="H1039" s="5">
        <v>4675000</v>
      </c>
    </row>
    <row r="1040" spans="1:8" ht="18.75" x14ac:dyDescent="0.2">
      <c r="A1040" s="3" t="str">
        <f t="shared" si="131"/>
        <v>98/11/26</v>
      </c>
      <c r="B1040" s="3" t="str">
        <f t="shared" si="132"/>
        <v>كالاهاي مصرفي</v>
      </c>
      <c r="C1040" s="3" t="str">
        <f>"انبار مصرفي ZU1"</f>
        <v>انبار مصرفي ZU1</v>
      </c>
      <c r="D1040" s="3" t="str">
        <f>"0102000036"</f>
        <v>0102000036</v>
      </c>
      <c r="E1040" s="3" t="str">
        <f>"رويه اپوکسي پلي آمين با هاردنر رال - 2003"</f>
        <v>رويه اپوکسي پلي آمين با هاردنر رال - 2003</v>
      </c>
      <c r="F1040" s="3" t="str">
        <f>"کيلوگرم"</f>
        <v>کيلوگرم</v>
      </c>
      <c r="G1040" s="3">
        <v>12</v>
      </c>
      <c r="H1040" s="5">
        <v>4680000</v>
      </c>
    </row>
    <row r="1041" spans="1:8" ht="18.75" x14ac:dyDescent="0.2">
      <c r="A1041" s="3" t="str">
        <f t="shared" si="131"/>
        <v>98/11/26</v>
      </c>
      <c r="B1041" s="3" t="str">
        <f t="shared" si="132"/>
        <v>كالاهاي مصرفي</v>
      </c>
      <c r="C1041" s="3" t="str">
        <f>"انبار مصرفي ZU1"</f>
        <v>انبار مصرفي ZU1</v>
      </c>
      <c r="D1041" s="3" t="str">
        <f>"0207000079"</f>
        <v>0207000079</v>
      </c>
      <c r="E1041" s="3" t="str">
        <f>"شيلنگ انعطاف پذيرفلزي DN=80mm L=1000mm"</f>
        <v>شيلنگ انعطاف پذيرفلزي DN=80mm L=1000mm</v>
      </c>
      <c r="F1041" s="3" t="str">
        <f>"عدد"</f>
        <v>عدد</v>
      </c>
      <c r="G1041" s="3">
        <v>1</v>
      </c>
      <c r="H1041" s="5">
        <v>4700000</v>
      </c>
    </row>
    <row r="1042" spans="1:8" ht="18.75" x14ac:dyDescent="0.2">
      <c r="A1042" s="3" t="str">
        <f t="shared" si="131"/>
        <v>98/11/26</v>
      </c>
      <c r="B1042" s="3" t="str">
        <f t="shared" si="132"/>
        <v>كالاهاي مصرفي</v>
      </c>
      <c r="C1042" s="3" t="str">
        <f>"انبار مصرفي ZU1"</f>
        <v>انبار مصرفي ZU1</v>
      </c>
      <c r="D1042" s="3" t="str">
        <f>"0204001302"</f>
        <v>0204001302</v>
      </c>
      <c r="E1042" s="3" t="str">
        <f>"اورينگ HNBR 140*5.8"</f>
        <v>اورينگ HNBR 140*5.8</v>
      </c>
      <c r="F1042" s="3" t="str">
        <f>"عدد"</f>
        <v>عدد</v>
      </c>
      <c r="G1042" s="3">
        <v>16</v>
      </c>
      <c r="H1042" s="5">
        <v>4704000</v>
      </c>
    </row>
    <row r="1043" spans="1:8" ht="18.75" x14ac:dyDescent="0.2">
      <c r="A1043" s="3" t="str">
        <f t="shared" si="131"/>
        <v>98/11/26</v>
      </c>
      <c r="B1043" s="3" t="str">
        <f t="shared" si="132"/>
        <v>كالاهاي مصرفي</v>
      </c>
      <c r="C1043" s="3" t="str">
        <f>"انبار مركزي ( عمومي )"</f>
        <v>انبار مركزي ( عمومي )</v>
      </c>
      <c r="D1043" s="3" t="str">
        <f>"0601000014"</f>
        <v>0601000014</v>
      </c>
      <c r="E1043" s="3" t="str">
        <f>"دستكش عايق برق 2.5KV"</f>
        <v>دستكش عايق برق 2.5KV</v>
      </c>
      <c r="F1043" s="3" t="str">
        <f>"جفت"</f>
        <v>جفت</v>
      </c>
      <c r="G1043" s="3">
        <v>4</v>
      </c>
      <c r="H1043" s="5">
        <v>4725000</v>
      </c>
    </row>
    <row r="1044" spans="1:8" ht="18.75" x14ac:dyDescent="0.2">
      <c r="A1044" s="3" t="str">
        <f t="shared" si="131"/>
        <v>98/11/26</v>
      </c>
      <c r="B1044" s="3" t="str">
        <f t="shared" si="132"/>
        <v>كالاهاي مصرفي</v>
      </c>
      <c r="C1044" s="3" t="str">
        <f>"انبار مصرفي ZU1"</f>
        <v>انبار مصرفي ZU1</v>
      </c>
      <c r="D1044" s="3" t="str">
        <f>"0106000213"</f>
        <v>0106000213</v>
      </c>
      <c r="E1044" s="3" t="str">
        <f>"روغن SUNISO COMPRESSOR Oil 4.5 G"</f>
        <v>روغن SUNISO COMPRESSOR Oil 4.5 G</v>
      </c>
      <c r="F1044" s="3" t="str">
        <f>"ليتر"</f>
        <v>ليتر</v>
      </c>
      <c r="G1044" s="3">
        <v>20</v>
      </c>
      <c r="H1044" s="5">
        <v>4788462</v>
      </c>
    </row>
    <row r="1045" spans="1:8" ht="18.75" x14ac:dyDescent="0.2">
      <c r="A1045" s="3" t="str">
        <f t="shared" si="131"/>
        <v>98/11/26</v>
      </c>
      <c r="B1045" s="3" t="str">
        <f t="shared" si="132"/>
        <v>كالاهاي مصرفي</v>
      </c>
      <c r="C1045" s="3" t="str">
        <f>"انبار مصرفي ZU1"</f>
        <v>انبار مصرفي ZU1</v>
      </c>
      <c r="D1045" s="3" t="str">
        <f>"0106000210"</f>
        <v>0106000210</v>
      </c>
      <c r="E1045" s="3" t="str">
        <f>"روغن shell rimula X10W"</f>
        <v>روغن shell rimula X10W</v>
      </c>
      <c r="F1045" s="3" t="str">
        <f>"ليتر"</f>
        <v>ليتر</v>
      </c>
      <c r="G1045" s="3">
        <v>40</v>
      </c>
      <c r="H1045" s="5">
        <v>4800000</v>
      </c>
    </row>
    <row r="1046" spans="1:8" ht="18.75" x14ac:dyDescent="0.2">
      <c r="A1046" s="3" t="str">
        <f t="shared" si="131"/>
        <v>98/11/26</v>
      </c>
      <c r="B1046" s="3" t="str">
        <f t="shared" si="132"/>
        <v>كالاهاي مصرفي</v>
      </c>
      <c r="C1046" s="3" t="str">
        <f>"انبار مركزي ( عمومي )"</f>
        <v>انبار مركزي ( عمومي )</v>
      </c>
      <c r="D1046" s="3" t="str">
        <f>"0206000624"</f>
        <v>0206000624</v>
      </c>
      <c r="E1046" s="3" t="str">
        <f>"شير پيسوار 1/2 به 1/2"</f>
        <v>شير پيسوار 1/2 به 1/2</v>
      </c>
      <c r="F1046" s="3" t="str">
        <f t="shared" ref="F1046:F1054" si="133">"عدد"</f>
        <v>عدد</v>
      </c>
      <c r="G1046" s="3">
        <v>30</v>
      </c>
      <c r="H1046" s="5">
        <v>4800000</v>
      </c>
    </row>
    <row r="1047" spans="1:8" ht="18.75" x14ac:dyDescent="0.2">
      <c r="A1047" s="3" t="str">
        <f t="shared" si="131"/>
        <v>98/11/26</v>
      </c>
      <c r="B1047" s="3" t="str">
        <f t="shared" si="132"/>
        <v>كالاهاي مصرفي</v>
      </c>
      <c r="C1047" s="3" t="str">
        <f>"انبار مركزي ( عمومي )"</f>
        <v>انبار مركزي ( عمومي )</v>
      </c>
      <c r="D1047" s="3" t="str">
        <f>"0211001841"</f>
        <v>0211001841</v>
      </c>
      <c r="E1047" s="3" t="str">
        <f>"پمپ فلاش تانك"</f>
        <v>پمپ فلاش تانك</v>
      </c>
      <c r="F1047" s="3" t="str">
        <f t="shared" si="133"/>
        <v>عدد</v>
      </c>
      <c r="G1047" s="3">
        <v>15</v>
      </c>
      <c r="H1047" s="5">
        <v>4800000</v>
      </c>
    </row>
    <row r="1048" spans="1:8" ht="18.75" x14ac:dyDescent="0.2">
      <c r="A1048" s="3" t="str">
        <f t="shared" si="131"/>
        <v>98/11/26</v>
      </c>
      <c r="B1048" s="3" t="str">
        <f t="shared" si="132"/>
        <v>كالاهاي مصرفي</v>
      </c>
      <c r="C1048" s="3" t="str">
        <f>"انبار مصرفي ZU1"</f>
        <v>انبار مصرفي ZU1</v>
      </c>
      <c r="D1048" s="3" t="str">
        <f>"0204001330"</f>
        <v>0204001330</v>
      </c>
      <c r="E1048" s="3" t="str">
        <f>"اورينگ HNBR 410*5"</f>
        <v>اورينگ HNBR 410*5</v>
      </c>
      <c r="F1048" s="3" t="str">
        <f t="shared" si="133"/>
        <v>عدد</v>
      </c>
      <c r="G1048" s="3">
        <v>7</v>
      </c>
      <c r="H1048" s="5">
        <v>4802000</v>
      </c>
    </row>
    <row r="1049" spans="1:8" ht="18.75" x14ac:dyDescent="0.2">
      <c r="A1049" s="3" t="str">
        <f t="shared" si="131"/>
        <v>98/11/26</v>
      </c>
      <c r="B1049" s="3" t="str">
        <f t="shared" si="132"/>
        <v>كالاهاي مصرفي</v>
      </c>
      <c r="C1049" s="3" t="str">
        <f>"انبار مركزي ( عمومي )"</f>
        <v>انبار مركزي ( عمومي )</v>
      </c>
      <c r="D1049" s="3" t="str">
        <f>"0202000424"</f>
        <v>0202000424</v>
      </c>
      <c r="E1049" s="3" t="str">
        <f>"كليد سلكتوري سه فاز 1608 رويان"</f>
        <v>كليد سلكتوري سه فاز 1608 رويان</v>
      </c>
      <c r="F1049" s="3" t="str">
        <f t="shared" si="133"/>
        <v>عدد</v>
      </c>
      <c r="G1049" s="3">
        <v>5</v>
      </c>
      <c r="H1049" s="5">
        <v>4812500</v>
      </c>
    </row>
    <row r="1050" spans="1:8" ht="18.75" x14ac:dyDescent="0.2">
      <c r="A1050" s="3" t="str">
        <f t="shared" si="131"/>
        <v>98/11/26</v>
      </c>
      <c r="B1050" s="3" t="str">
        <f t="shared" si="132"/>
        <v>كالاهاي مصرفي</v>
      </c>
      <c r="C1050" s="3" t="str">
        <f>"انبار مصرفي ZU1"</f>
        <v>انبار مصرفي ZU1</v>
      </c>
      <c r="D1050" s="3" t="str">
        <f>"0211000852"</f>
        <v>0211000852</v>
      </c>
      <c r="E1050" s="3" t="str">
        <f>"باطري متوسط سايز C"</f>
        <v>باطري متوسط سايز C</v>
      </c>
      <c r="F1050" s="3" t="str">
        <f t="shared" si="133"/>
        <v>عدد</v>
      </c>
      <c r="G1050" s="3">
        <v>32</v>
      </c>
      <c r="H1050" s="5">
        <v>4835165</v>
      </c>
    </row>
    <row r="1051" spans="1:8" ht="18.75" x14ac:dyDescent="0.2">
      <c r="A1051" s="3" t="str">
        <f t="shared" si="131"/>
        <v>98/11/26</v>
      </c>
      <c r="B1051" s="3" t="str">
        <f t="shared" si="132"/>
        <v>كالاهاي مصرفي</v>
      </c>
      <c r="C1051" s="3" t="str">
        <f>"انبار مصرفي ZU1"</f>
        <v>انبار مصرفي ZU1</v>
      </c>
      <c r="D1051" s="3" t="str">
        <f>"0213000410"</f>
        <v>0213000410</v>
      </c>
      <c r="E1051" s="3" t="str">
        <f>"پيچ يك سر رزوه كربن استيل M16*90"</f>
        <v>پيچ يك سر رزوه كربن استيل M16*90</v>
      </c>
      <c r="F1051" s="3" t="str">
        <f t="shared" si="133"/>
        <v>عدد</v>
      </c>
      <c r="G1051" s="3">
        <v>191</v>
      </c>
      <c r="H1051" s="5">
        <v>4844860</v>
      </c>
    </row>
    <row r="1052" spans="1:8" ht="18.75" x14ac:dyDescent="0.2">
      <c r="A1052" s="3" t="str">
        <f t="shared" si="131"/>
        <v>98/11/26</v>
      </c>
      <c r="B1052" s="3" t="str">
        <f t="shared" si="132"/>
        <v>كالاهاي مصرفي</v>
      </c>
      <c r="C1052" s="3" t="str">
        <f>"انبار مصرفي ZU1"</f>
        <v>انبار مصرفي ZU1</v>
      </c>
      <c r="D1052" s="3" t="str">
        <f>"0213000458"</f>
        <v>0213000458</v>
      </c>
      <c r="E1052" s="3" t="str">
        <f>"واشر استنلس استيل M42"</f>
        <v>واشر استنلس استيل M42</v>
      </c>
      <c r="F1052" s="3" t="str">
        <f t="shared" si="133"/>
        <v>عدد</v>
      </c>
      <c r="G1052" s="3">
        <v>70</v>
      </c>
      <c r="H1052" s="5">
        <v>4861500</v>
      </c>
    </row>
    <row r="1053" spans="1:8" ht="18.75" x14ac:dyDescent="0.2">
      <c r="A1053" s="3" t="str">
        <f t="shared" si="131"/>
        <v>98/11/26</v>
      </c>
      <c r="B1053" s="3" t="str">
        <f t="shared" si="132"/>
        <v>كالاهاي مصرفي</v>
      </c>
      <c r="C1053" s="3" t="str">
        <f>"انبار مصرفي ZU1"</f>
        <v>انبار مصرفي ZU1</v>
      </c>
      <c r="D1053" s="3" t="str">
        <f>"0204001676"</f>
        <v>0204001676</v>
      </c>
      <c r="E1053" s="3" t="str">
        <f>"اورينگ HNBR 80*3.5"</f>
        <v>اورينگ HNBR 80*3.5</v>
      </c>
      <c r="F1053" s="3" t="str">
        <f t="shared" si="133"/>
        <v>عدد</v>
      </c>
      <c r="G1053" s="3">
        <v>19</v>
      </c>
      <c r="H1053" s="5">
        <v>4868750</v>
      </c>
    </row>
    <row r="1054" spans="1:8" ht="18.75" x14ac:dyDescent="0.2">
      <c r="A1054" s="3" t="str">
        <f t="shared" si="131"/>
        <v>98/11/26</v>
      </c>
      <c r="B1054" s="3" t="str">
        <f t="shared" si="132"/>
        <v>كالاهاي مصرفي</v>
      </c>
      <c r="C1054" s="3" t="str">
        <f>"انبار مركزي ( عمومي )"</f>
        <v>انبار مركزي ( عمومي )</v>
      </c>
      <c r="D1054" s="3" t="str">
        <f>"0906000376"</f>
        <v>0906000376</v>
      </c>
      <c r="E1054" s="3" t="str">
        <f>"تبديل‎HDMI به AV"</f>
        <v>تبديل‎HDMI به AV</v>
      </c>
      <c r="F1054" s="3" t="str">
        <f t="shared" si="133"/>
        <v>عدد</v>
      </c>
      <c r="G1054" s="3">
        <v>4</v>
      </c>
      <c r="H1054" s="5">
        <v>4887500</v>
      </c>
    </row>
    <row r="1055" spans="1:8" ht="18.75" x14ac:dyDescent="0.2">
      <c r="A1055" s="3" t="str">
        <f t="shared" si="131"/>
        <v>98/11/26</v>
      </c>
      <c r="B1055" s="3" t="str">
        <f t="shared" si="132"/>
        <v>كالاهاي مصرفي</v>
      </c>
      <c r="C1055" s="3" t="str">
        <f t="shared" ref="C1055:C1061" si="134">"انبار مصرفي ZU1"</f>
        <v>انبار مصرفي ZU1</v>
      </c>
      <c r="D1055" s="3" t="str">
        <f>"0204000444"</f>
        <v>0204000444</v>
      </c>
      <c r="E1055" s="3" t="str">
        <f>"نوارلاستيكي با مقطع گرد قطر 6ميليمتر NBR"</f>
        <v>نوارلاستيكي با مقطع گرد قطر 6ميليمتر NBR</v>
      </c>
      <c r="F1055" s="3" t="str">
        <f>"متر"</f>
        <v>متر</v>
      </c>
      <c r="G1055" s="3">
        <v>499</v>
      </c>
      <c r="H1055" s="5">
        <v>4890200</v>
      </c>
    </row>
    <row r="1056" spans="1:8" ht="18.75" x14ac:dyDescent="0.2">
      <c r="A1056" s="3" t="str">
        <f t="shared" si="131"/>
        <v>98/11/26</v>
      </c>
      <c r="B1056" s="3" t="str">
        <f t="shared" si="132"/>
        <v>كالاهاي مصرفي</v>
      </c>
      <c r="C1056" s="3" t="str">
        <f t="shared" si="134"/>
        <v>انبار مصرفي ZU1</v>
      </c>
      <c r="D1056" s="3" t="str">
        <f>"0213000201"</f>
        <v>0213000201</v>
      </c>
      <c r="E1056" s="3" t="str">
        <f>"واشر مسي M34"</f>
        <v>واشر مسي M34</v>
      </c>
      <c r="F1056" s="3" t="str">
        <f>"عدد"</f>
        <v>عدد</v>
      </c>
      <c r="G1056" s="3">
        <v>180</v>
      </c>
      <c r="H1056" s="5">
        <v>4892800</v>
      </c>
    </row>
    <row r="1057" spans="1:8" ht="18.75" x14ac:dyDescent="0.2">
      <c r="A1057" s="3" t="str">
        <f t="shared" si="131"/>
        <v>98/11/26</v>
      </c>
      <c r="B1057" s="3" t="str">
        <f t="shared" si="132"/>
        <v>كالاهاي مصرفي</v>
      </c>
      <c r="C1057" s="3" t="str">
        <f t="shared" si="134"/>
        <v>انبار مصرفي ZU1</v>
      </c>
      <c r="D1057" s="3" t="str">
        <f>"0213000816"</f>
        <v>0213000816</v>
      </c>
      <c r="E1057" s="3" t="str">
        <f>"پوساب P80 معمولي"</f>
        <v>پوساب P80 معمولي</v>
      </c>
      <c r="F1057" s="3" t="str">
        <f>"برگ"</f>
        <v>برگ</v>
      </c>
      <c r="G1057" s="3">
        <v>244</v>
      </c>
      <c r="H1057" s="5">
        <v>4896042</v>
      </c>
    </row>
    <row r="1058" spans="1:8" ht="18.75" x14ac:dyDescent="0.2">
      <c r="A1058" s="3" t="str">
        <f t="shared" si="131"/>
        <v>98/11/26</v>
      </c>
      <c r="B1058" s="3" t="str">
        <f t="shared" si="132"/>
        <v>كالاهاي مصرفي</v>
      </c>
      <c r="C1058" s="3" t="str">
        <f t="shared" si="134"/>
        <v>انبار مصرفي ZU1</v>
      </c>
      <c r="D1058" s="3" t="str">
        <f>"0106000212"</f>
        <v>0106000212</v>
      </c>
      <c r="E1058" s="3" t="str">
        <f>"روغن shell tellus 100"</f>
        <v>روغن shell tellus 100</v>
      </c>
      <c r="F1058" s="3" t="str">
        <f>"ليتر"</f>
        <v>ليتر</v>
      </c>
      <c r="G1058" s="3">
        <v>20</v>
      </c>
      <c r="H1058" s="5">
        <v>4900000</v>
      </c>
    </row>
    <row r="1059" spans="1:8" ht="18.75" x14ac:dyDescent="0.2">
      <c r="A1059" s="3" t="str">
        <f t="shared" si="131"/>
        <v>98/11/26</v>
      </c>
      <c r="B1059" s="3" t="str">
        <f t="shared" si="132"/>
        <v>كالاهاي مصرفي</v>
      </c>
      <c r="C1059" s="3" t="str">
        <f t="shared" si="134"/>
        <v>انبار مصرفي ZU1</v>
      </c>
      <c r="D1059" s="3" t="str">
        <f>"0204000313"</f>
        <v>0204000313</v>
      </c>
      <c r="E1059" s="3" t="str">
        <f>"كاسه نمد 14*200*170"</f>
        <v>كاسه نمد 14*200*170</v>
      </c>
      <c r="F1059" s="3" t="str">
        <f>"عدد"</f>
        <v>عدد</v>
      </c>
      <c r="G1059" s="3">
        <v>4</v>
      </c>
      <c r="H1059" s="5">
        <v>4900000</v>
      </c>
    </row>
    <row r="1060" spans="1:8" ht="18.75" x14ac:dyDescent="0.2">
      <c r="A1060" s="3" t="str">
        <f t="shared" si="131"/>
        <v>98/11/26</v>
      </c>
      <c r="B1060" s="3" t="str">
        <f t="shared" si="132"/>
        <v>كالاهاي مصرفي</v>
      </c>
      <c r="C1060" s="3" t="str">
        <f t="shared" si="134"/>
        <v>انبار مصرفي ZU1</v>
      </c>
      <c r="D1060" s="3" t="str">
        <f>"0204001165"</f>
        <v>0204001165</v>
      </c>
      <c r="E1060" s="3" t="str">
        <f>"پکينگ آببندي (فشاري) تفلوني 12*12 ميليمتر"</f>
        <v>پکينگ آببندي (فشاري) تفلوني 12*12 ميليمتر</v>
      </c>
      <c r="F1060" s="3" t="str">
        <f>"قرقره"</f>
        <v>قرقره</v>
      </c>
      <c r="G1060" s="3">
        <v>1</v>
      </c>
      <c r="H1060" s="5">
        <v>4900000</v>
      </c>
    </row>
    <row r="1061" spans="1:8" ht="18.75" x14ac:dyDescent="0.2">
      <c r="A1061" s="3" t="str">
        <f t="shared" si="131"/>
        <v>98/11/26</v>
      </c>
      <c r="B1061" s="3" t="str">
        <f t="shared" si="132"/>
        <v>كالاهاي مصرفي</v>
      </c>
      <c r="C1061" s="3" t="str">
        <f t="shared" si="134"/>
        <v>انبار مصرفي ZU1</v>
      </c>
      <c r="D1061" s="3" t="str">
        <f>"0204001186"</f>
        <v>0204001186</v>
      </c>
      <c r="E1061" s="3" t="str">
        <f>"پکينگ آبندي (فشاري) تفلون گرافيت 8*8 ميليمتر"</f>
        <v>پکينگ آبندي (فشاري) تفلون گرافيت 8*8 ميليمتر</v>
      </c>
      <c r="F1061" s="3" t="str">
        <f>"قرقره"</f>
        <v>قرقره</v>
      </c>
      <c r="G1061" s="3">
        <v>1</v>
      </c>
      <c r="H1061" s="5">
        <v>4900000</v>
      </c>
    </row>
    <row r="1062" spans="1:8" ht="18.75" x14ac:dyDescent="0.2">
      <c r="A1062" s="3" t="str">
        <f t="shared" si="131"/>
        <v>98/11/26</v>
      </c>
      <c r="B1062" s="3" t="str">
        <f t="shared" si="132"/>
        <v>كالاهاي مصرفي</v>
      </c>
      <c r="C1062" s="3" t="str">
        <f>"انبار مركزي ( عمومي )"</f>
        <v>انبار مركزي ( عمومي )</v>
      </c>
      <c r="D1062" s="3" t="str">
        <f>"0206001028"</f>
        <v>0206001028</v>
      </c>
      <c r="E1062" s="3" t="str">
        <f>"بست فلزي شيلنگ خور 1/4-1"</f>
        <v>بست فلزي شيلنگ خور 1/4-1</v>
      </c>
      <c r="F1062" s="3" t="str">
        <f>"عدد"</f>
        <v>عدد</v>
      </c>
      <c r="G1062" s="3">
        <v>44</v>
      </c>
      <c r="H1062" s="5">
        <v>4900000</v>
      </c>
    </row>
    <row r="1063" spans="1:8" ht="18.75" x14ac:dyDescent="0.2">
      <c r="A1063" s="3" t="str">
        <f t="shared" si="131"/>
        <v>98/11/26</v>
      </c>
      <c r="B1063" s="3" t="str">
        <f t="shared" si="132"/>
        <v>كالاهاي مصرفي</v>
      </c>
      <c r="C1063" s="3" t="str">
        <f>"انبار مركزي ( عمومي )"</f>
        <v>انبار مركزي ( عمومي )</v>
      </c>
      <c r="D1063" s="3" t="str">
        <f>"0214000281"</f>
        <v>0214000281</v>
      </c>
      <c r="E1063" s="3" t="str">
        <f>"سيم آرموتوربندي (مفتول 1.5 ميليمتري )"</f>
        <v>سيم آرموتوربندي (مفتول 1.5 ميليمتري )</v>
      </c>
      <c r="F1063" s="3" t="str">
        <f>"کيلوگرم"</f>
        <v>کيلوگرم</v>
      </c>
      <c r="G1063" s="3">
        <v>50</v>
      </c>
      <c r="H1063" s="5">
        <v>4900000</v>
      </c>
    </row>
    <row r="1064" spans="1:8" ht="18.75" x14ac:dyDescent="0.2">
      <c r="A1064" s="3" t="str">
        <f t="shared" si="131"/>
        <v>98/11/26</v>
      </c>
      <c r="B1064" s="3" t="str">
        <f t="shared" si="132"/>
        <v>كالاهاي مصرفي</v>
      </c>
      <c r="C1064" s="3" t="str">
        <f>"انبار مركزي ( عمومي )"</f>
        <v>انبار مركزي ( عمومي )</v>
      </c>
      <c r="D1064" s="3" t="str">
        <f>"0404000054"</f>
        <v>0404000054</v>
      </c>
      <c r="E1064" s="3" t="str">
        <f>"شارژر باطري كتابي"</f>
        <v>شارژر باطري كتابي</v>
      </c>
      <c r="F1064" s="3" t="str">
        <f>"عدد"</f>
        <v>عدد</v>
      </c>
      <c r="G1064" s="3">
        <v>11</v>
      </c>
      <c r="H1064" s="5">
        <v>4941538</v>
      </c>
    </row>
    <row r="1065" spans="1:8" ht="18.75" x14ac:dyDescent="0.2">
      <c r="A1065" s="3" t="str">
        <f t="shared" si="131"/>
        <v>98/11/26</v>
      </c>
      <c r="B1065" s="3" t="str">
        <f t="shared" si="132"/>
        <v>كالاهاي مصرفي</v>
      </c>
      <c r="C1065" s="3" t="str">
        <f>"انبار مصرفي ZU1"</f>
        <v>انبار مصرفي ZU1</v>
      </c>
      <c r="D1065" s="3" t="str">
        <f>"0204001535"</f>
        <v>0204001535</v>
      </c>
      <c r="E1065" s="3" t="str">
        <f>"كاسه نمد  10*60*35"</f>
        <v>كاسه نمد  10*60*35</v>
      </c>
      <c r="F1065" s="3" t="str">
        <f>"عدد"</f>
        <v>عدد</v>
      </c>
      <c r="G1065" s="3">
        <v>11</v>
      </c>
      <c r="H1065" s="5">
        <v>4950000</v>
      </c>
    </row>
    <row r="1066" spans="1:8" ht="18.75" x14ac:dyDescent="0.2">
      <c r="A1066" s="3" t="str">
        <f t="shared" si="131"/>
        <v>98/11/26</v>
      </c>
      <c r="B1066" s="3" t="str">
        <f t="shared" si="132"/>
        <v>كالاهاي مصرفي</v>
      </c>
      <c r="C1066" s="3" t="str">
        <f>"انبار مصرفي ZU1"</f>
        <v>انبار مصرفي ZU1</v>
      </c>
      <c r="D1066" s="3" t="str">
        <f>"0204002164"</f>
        <v>0204002164</v>
      </c>
      <c r="E1066" s="3" t="str">
        <f>"اورينگ NBR443.5 *5.5"</f>
        <v>اورينگ NBR443.5 *5.5</v>
      </c>
      <c r="F1066" s="3" t="str">
        <f>"عدد"</f>
        <v>عدد</v>
      </c>
      <c r="G1066" s="3">
        <v>11</v>
      </c>
      <c r="H1066" s="5">
        <v>4950000</v>
      </c>
    </row>
    <row r="1067" spans="1:8" ht="18.75" x14ac:dyDescent="0.2">
      <c r="A1067" s="3" t="str">
        <f t="shared" si="131"/>
        <v>98/11/26</v>
      </c>
      <c r="B1067" s="3" t="str">
        <f t="shared" si="132"/>
        <v>كالاهاي مصرفي</v>
      </c>
      <c r="C1067" s="3" t="str">
        <f>"انبار مصرفي ZU1"</f>
        <v>انبار مصرفي ZU1</v>
      </c>
      <c r="D1067" s="3" t="str">
        <f>"0206000622"</f>
        <v>0206000622</v>
      </c>
      <c r="E1067" s="3" t="str">
        <f>"لوله سياه 1.1/2 اينچ"</f>
        <v>لوله سياه 1.1/2 اينچ</v>
      </c>
      <c r="F1067" s="3" t="str">
        <f>"شاخه"</f>
        <v>شاخه</v>
      </c>
      <c r="G1067" s="3">
        <v>3</v>
      </c>
      <c r="H1067" s="5">
        <v>4950000</v>
      </c>
    </row>
    <row r="1068" spans="1:8" ht="18.75" x14ac:dyDescent="0.2">
      <c r="A1068" s="3" t="str">
        <f t="shared" si="131"/>
        <v>98/11/26</v>
      </c>
      <c r="B1068" s="3" t="str">
        <f t="shared" si="132"/>
        <v>كالاهاي مصرفي</v>
      </c>
      <c r="C1068" s="3" t="str">
        <f>"انبار مصرفي ZU1"</f>
        <v>انبار مصرفي ZU1</v>
      </c>
      <c r="D1068" s="3" t="str">
        <f>"0213000433"</f>
        <v>0213000433</v>
      </c>
      <c r="E1068" s="3" t="str">
        <f>"پيچ گوشواره اي M16*6"</f>
        <v>پيچ گوشواره اي M16*6</v>
      </c>
      <c r="F1068" s="3" t="str">
        <f>"عدد"</f>
        <v>عدد</v>
      </c>
      <c r="G1068" s="3">
        <v>69</v>
      </c>
      <c r="H1068" s="5">
        <v>4950257</v>
      </c>
    </row>
    <row r="1069" spans="1:8" ht="18.75" x14ac:dyDescent="0.2">
      <c r="A1069" s="3" t="str">
        <f t="shared" si="131"/>
        <v>98/11/26</v>
      </c>
      <c r="B1069" s="3" t="str">
        <f t="shared" si="132"/>
        <v>كالاهاي مصرفي</v>
      </c>
      <c r="C1069" s="3" t="str">
        <f>"انبار مركزي ( عمومي )"</f>
        <v>انبار مركزي ( عمومي )</v>
      </c>
      <c r="D1069" s="3" t="str">
        <f>"0212000052"</f>
        <v>0212000052</v>
      </c>
      <c r="E1069" s="3" t="str">
        <f>"عايق حرارتي شماره 35"</f>
        <v>عايق حرارتي شماره 35</v>
      </c>
      <c r="F1069" s="3" t="str">
        <f>"متر"</f>
        <v>متر</v>
      </c>
      <c r="G1069" s="3">
        <v>40</v>
      </c>
      <c r="H1069" s="5">
        <v>4960000</v>
      </c>
    </row>
    <row r="1070" spans="1:8" ht="18.75" x14ac:dyDescent="0.2">
      <c r="A1070" s="3" t="str">
        <f t="shared" si="131"/>
        <v>98/11/26</v>
      </c>
      <c r="B1070" s="3" t="str">
        <f t="shared" si="132"/>
        <v>كالاهاي مصرفي</v>
      </c>
      <c r="C1070" s="3" t="str">
        <f>"انبار مركزي ( عمومي )"</f>
        <v>انبار مركزي ( عمومي )</v>
      </c>
      <c r="D1070" s="3" t="str">
        <f>"0204000835"</f>
        <v>0204000835</v>
      </c>
      <c r="E1070" s="3" t="str">
        <f>"سيني زير كولر پنجره اي"</f>
        <v>سيني زير كولر پنجره اي</v>
      </c>
      <c r="F1070" s="3" t="str">
        <f t="shared" ref="F1070:F1076" si="135">"عدد"</f>
        <v>عدد</v>
      </c>
      <c r="G1070" s="3">
        <v>20</v>
      </c>
      <c r="H1070" s="5">
        <v>5000000</v>
      </c>
    </row>
    <row r="1071" spans="1:8" ht="18.75" x14ac:dyDescent="0.2">
      <c r="A1071" s="3" t="str">
        <f t="shared" si="131"/>
        <v>98/11/26</v>
      </c>
      <c r="B1071" s="3" t="str">
        <f t="shared" si="132"/>
        <v>كالاهاي مصرفي</v>
      </c>
      <c r="C1071" s="3" t="str">
        <f>"انبار مصرفي ZU1"</f>
        <v>انبار مصرفي ZU1</v>
      </c>
      <c r="D1071" s="3" t="str">
        <f>"0204001938"</f>
        <v>0204001938</v>
      </c>
      <c r="E1071" s="3" t="str">
        <f>"بيرينگ NU210E"</f>
        <v>بيرينگ NU210E</v>
      </c>
      <c r="F1071" s="3" t="str">
        <f t="shared" si="135"/>
        <v>عدد</v>
      </c>
      <c r="G1071" s="3">
        <v>2</v>
      </c>
      <c r="H1071" s="5">
        <v>5000000</v>
      </c>
    </row>
    <row r="1072" spans="1:8" ht="18.75" x14ac:dyDescent="0.2">
      <c r="A1072" s="3" t="str">
        <f t="shared" si="131"/>
        <v>98/11/26</v>
      </c>
      <c r="B1072" s="3" t="str">
        <f t="shared" si="132"/>
        <v>كالاهاي مصرفي</v>
      </c>
      <c r="C1072" s="3" t="str">
        <f>"انبار مصرفي ZU1"</f>
        <v>انبار مصرفي ZU1</v>
      </c>
      <c r="D1072" s="3" t="str">
        <f>"0204002167"</f>
        <v>0204002167</v>
      </c>
      <c r="E1072" s="3" t="str">
        <f>"اورينگ NBR453.5 *5.5"</f>
        <v>اورينگ NBR453.5 *5.5</v>
      </c>
      <c r="F1072" s="3" t="str">
        <f t="shared" si="135"/>
        <v>عدد</v>
      </c>
      <c r="G1072" s="3">
        <v>10</v>
      </c>
      <c r="H1072" s="5">
        <v>5000000</v>
      </c>
    </row>
    <row r="1073" spans="1:8" ht="18.75" x14ac:dyDescent="0.2">
      <c r="A1073" s="3" t="str">
        <f t="shared" si="131"/>
        <v>98/11/26</v>
      </c>
      <c r="B1073" s="3" t="str">
        <f t="shared" si="132"/>
        <v>كالاهاي مصرفي</v>
      </c>
      <c r="C1073" s="3" t="str">
        <f>"انبار مصرفي ZU1"</f>
        <v>انبار مصرفي ZU1</v>
      </c>
      <c r="D1073" s="3" t="str">
        <f>"0204002165"</f>
        <v>0204002165</v>
      </c>
      <c r="E1073" s="3" t="str">
        <f>"اورينگ NBR383.5 *6.8"</f>
        <v>اورينگ NBR383.5 *6.8</v>
      </c>
      <c r="F1073" s="3" t="str">
        <f t="shared" si="135"/>
        <v>عدد</v>
      </c>
      <c r="G1073" s="3">
        <v>11</v>
      </c>
      <c r="H1073" s="5">
        <v>5005000</v>
      </c>
    </row>
    <row r="1074" spans="1:8" ht="18.75" x14ac:dyDescent="0.2">
      <c r="A1074" s="3" t="str">
        <f t="shared" si="131"/>
        <v>98/11/26</v>
      </c>
      <c r="B1074" s="3" t="str">
        <f t="shared" si="132"/>
        <v>كالاهاي مصرفي</v>
      </c>
      <c r="C1074" s="3" t="str">
        <f>"انبار مركزي ( عمومي )"</f>
        <v>انبار مركزي ( عمومي )</v>
      </c>
      <c r="D1074" s="3" t="str">
        <f>"0101000063"</f>
        <v>0101000063</v>
      </c>
      <c r="E1074" s="3" t="str">
        <f>"برس رنگ 2.1/2 اينچ"</f>
        <v>برس رنگ 2.1/2 اينچ</v>
      </c>
      <c r="F1074" s="3" t="str">
        <f t="shared" si="135"/>
        <v>عدد</v>
      </c>
      <c r="G1074" s="3">
        <v>72</v>
      </c>
      <c r="H1074" s="5">
        <v>5014424</v>
      </c>
    </row>
    <row r="1075" spans="1:8" ht="18.75" x14ac:dyDescent="0.2">
      <c r="A1075" s="3" t="str">
        <f t="shared" si="131"/>
        <v>98/11/26</v>
      </c>
      <c r="B1075" s="3" t="str">
        <f t="shared" si="132"/>
        <v>كالاهاي مصرفي</v>
      </c>
      <c r="C1075" s="3" t="str">
        <f>"انبار مركزي ( عمومي )"</f>
        <v>انبار مركزي ( عمومي )</v>
      </c>
      <c r="D1075" s="3" t="str">
        <f>"0203000126"</f>
        <v>0203000126</v>
      </c>
      <c r="E1075" s="3" t="str">
        <f>"پيچ گوشتي عايق دار"</f>
        <v>پيچ گوشتي عايق دار</v>
      </c>
      <c r="F1075" s="3" t="str">
        <f t="shared" si="135"/>
        <v>عدد</v>
      </c>
      <c r="G1075" s="3">
        <v>43</v>
      </c>
      <c r="H1075" s="5">
        <v>5032702</v>
      </c>
    </row>
    <row r="1076" spans="1:8" ht="18.75" x14ac:dyDescent="0.2">
      <c r="A1076" s="3" t="str">
        <f t="shared" si="131"/>
        <v>98/11/26</v>
      </c>
      <c r="B1076" s="3" t="str">
        <f t="shared" si="132"/>
        <v>كالاهاي مصرفي</v>
      </c>
      <c r="C1076" s="3" t="str">
        <f t="shared" ref="C1076:C1083" si="136">"انبار مصرفي ZU1"</f>
        <v>انبار مصرفي ZU1</v>
      </c>
      <c r="D1076" s="3" t="str">
        <f>"0213000944"</f>
        <v>0213000944</v>
      </c>
      <c r="E1076" s="3" t="str">
        <f>"پيچ تمام رزوه M20*160"</f>
        <v>پيچ تمام رزوه M20*160</v>
      </c>
      <c r="F1076" s="3" t="str">
        <f t="shared" si="135"/>
        <v>عدد</v>
      </c>
      <c r="G1076" s="3">
        <v>88</v>
      </c>
      <c r="H1076" s="5">
        <v>5037120</v>
      </c>
    </row>
    <row r="1077" spans="1:8" ht="18.75" x14ac:dyDescent="0.2">
      <c r="A1077" s="3" t="str">
        <f t="shared" si="131"/>
        <v>98/11/26</v>
      </c>
      <c r="B1077" s="3" t="str">
        <f t="shared" si="132"/>
        <v>كالاهاي مصرفي</v>
      </c>
      <c r="C1077" s="3" t="str">
        <f t="shared" si="136"/>
        <v>انبار مصرفي ZU1</v>
      </c>
      <c r="D1077" s="3" t="str">
        <f>"0204002147"</f>
        <v>0204002147</v>
      </c>
      <c r="E1077" s="3" t="str">
        <f>"تسمه پروانه XPA- 3150"</f>
        <v>تسمه پروانه XPA- 3150</v>
      </c>
      <c r="F1077" s="3" t="str">
        <f>"حلقه"</f>
        <v>حلقه</v>
      </c>
      <c r="G1077" s="3">
        <v>6</v>
      </c>
      <c r="H1077" s="5">
        <v>5040000</v>
      </c>
    </row>
    <row r="1078" spans="1:8" ht="18.75" x14ac:dyDescent="0.2">
      <c r="A1078" s="3" t="str">
        <f t="shared" si="131"/>
        <v>98/11/26</v>
      </c>
      <c r="B1078" s="3" t="str">
        <f t="shared" si="132"/>
        <v>كالاهاي مصرفي</v>
      </c>
      <c r="C1078" s="3" t="str">
        <f t="shared" si="136"/>
        <v>انبار مصرفي ZU1</v>
      </c>
      <c r="D1078" s="3" t="str">
        <f>"0105000004"</f>
        <v>0105000004</v>
      </c>
      <c r="E1078" s="3" t="str">
        <f>"چسب رازي همه كاره"</f>
        <v>چسب رازي همه كاره</v>
      </c>
      <c r="F1078" s="3" t="str">
        <f t="shared" ref="F1078:F1088" si="137">"عدد"</f>
        <v>عدد</v>
      </c>
      <c r="G1078" s="3">
        <v>112</v>
      </c>
      <c r="H1078" s="5">
        <v>5085000</v>
      </c>
    </row>
    <row r="1079" spans="1:8" ht="18.75" x14ac:dyDescent="0.2">
      <c r="A1079" s="3" t="str">
        <f t="shared" si="131"/>
        <v>98/11/26</v>
      </c>
      <c r="B1079" s="3" t="str">
        <f t="shared" si="132"/>
        <v>كالاهاي مصرفي</v>
      </c>
      <c r="C1079" s="3" t="str">
        <f t="shared" si="136"/>
        <v>انبار مصرفي ZU1</v>
      </c>
      <c r="D1079" s="3" t="str">
        <f>"0204000597"</f>
        <v>0204000597</v>
      </c>
      <c r="E1079" s="3" t="str">
        <f>"بيرينگ 3308A"</f>
        <v>بيرينگ 3308A</v>
      </c>
      <c r="F1079" s="3" t="str">
        <f t="shared" si="137"/>
        <v>عدد</v>
      </c>
      <c r="G1079" s="3">
        <v>3</v>
      </c>
      <c r="H1079" s="5">
        <v>5100000</v>
      </c>
    </row>
    <row r="1080" spans="1:8" ht="18.75" x14ac:dyDescent="0.2">
      <c r="A1080" s="3" t="str">
        <f t="shared" si="131"/>
        <v>98/11/26</v>
      </c>
      <c r="B1080" s="3" t="str">
        <f t="shared" si="132"/>
        <v>كالاهاي مصرفي</v>
      </c>
      <c r="C1080" s="3" t="str">
        <f t="shared" si="136"/>
        <v>انبار مصرفي ZU1</v>
      </c>
      <c r="D1080" s="3" t="str">
        <f>"0204000956"</f>
        <v>0204000956</v>
      </c>
      <c r="E1080" s="3" t="str">
        <f>"بيرينگ 2RS 6306"</f>
        <v>بيرينگ 2RS 6306</v>
      </c>
      <c r="F1080" s="3" t="str">
        <f t="shared" si="137"/>
        <v>عدد</v>
      </c>
      <c r="G1080" s="3">
        <v>20</v>
      </c>
      <c r="H1080" s="5">
        <v>5100000</v>
      </c>
    </row>
    <row r="1081" spans="1:8" ht="18.75" x14ac:dyDescent="0.2">
      <c r="A1081" s="3" t="str">
        <f t="shared" si="131"/>
        <v>98/11/26</v>
      </c>
      <c r="B1081" s="3" t="str">
        <f t="shared" si="132"/>
        <v>كالاهاي مصرفي</v>
      </c>
      <c r="C1081" s="3" t="str">
        <f t="shared" si="136"/>
        <v>انبار مصرفي ZU1</v>
      </c>
      <c r="D1081" s="3" t="str">
        <f>"0204002163"</f>
        <v>0204002163</v>
      </c>
      <c r="E1081" s="3" t="str">
        <f>"اورينگ NBR434 *5.5"</f>
        <v>اورينگ NBR434 *5.5</v>
      </c>
      <c r="F1081" s="3" t="str">
        <f t="shared" si="137"/>
        <v>عدد</v>
      </c>
      <c r="G1081" s="3">
        <v>12</v>
      </c>
      <c r="H1081" s="5">
        <v>5160000</v>
      </c>
    </row>
    <row r="1082" spans="1:8" ht="18.75" x14ac:dyDescent="0.2">
      <c r="A1082" s="3" t="str">
        <f t="shared" si="131"/>
        <v>98/11/26</v>
      </c>
      <c r="B1082" s="3" t="str">
        <f t="shared" si="132"/>
        <v>كالاهاي مصرفي</v>
      </c>
      <c r="C1082" s="3" t="str">
        <f t="shared" si="136"/>
        <v>انبار مصرفي ZU1</v>
      </c>
      <c r="D1082" s="3" t="str">
        <f>"0213000780"</f>
        <v>0213000780</v>
      </c>
      <c r="E1082" s="3" t="str">
        <f>"صفحه سنگ ساب بزرگ 22*6*180"</f>
        <v>صفحه سنگ ساب بزرگ 22*6*180</v>
      </c>
      <c r="F1082" s="3" t="str">
        <f t="shared" si="137"/>
        <v>عدد</v>
      </c>
      <c r="G1082" s="3">
        <v>75</v>
      </c>
      <c r="H1082" s="5">
        <v>5161818</v>
      </c>
    </row>
    <row r="1083" spans="1:8" ht="18.75" x14ac:dyDescent="0.2">
      <c r="A1083" s="3" t="str">
        <f t="shared" si="131"/>
        <v>98/11/26</v>
      </c>
      <c r="B1083" s="3" t="str">
        <f t="shared" si="132"/>
        <v>كالاهاي مصرفي</v>
      </c>
      <c r="C1083" s="3" t="str">
        <f t="shared" si="136"/>
        <v>انبار مصرفي ZU1</v>
      </c>
      <c r="D1083" s="3" t="str">
        <f>"0203000131"</f>
        <v>0203000131</v>
      </c>
      <c r="E1083" s="3" t="str">
        <f>"آچارفرانسه 8 اينچ ( 200mm )"</f>
        <v>آچارفرانسه 8 اينچ ( 200mm )</v>
      </c>
      <c r="F1083" s="3" t="str">
        <f t="shared" si="137"/>
        <v>عدد</v>
      </c>
      <c r="G1083" s="3">
        <v>13</v>
      </c>
      <c r="H1083" s="5">
        <v>5167500</v>
      </c>
    </row>
    <row r="1084" spans="1:8" ht="18.75" x14ac:dyDescent="0.2">
      <c r="A1084" s="3" t="str">
        <f t="shared" si="131"/>
        <v>98/11/26</v>
      </c>
      <c r="B1084" s="3" t="str">
        <f t="shared" si="132"/>
        <v>كالاهاي مصرفي</v>
      </c>
      <c r="C1084" s="3" t="str">
        <f>"انبار مركزي ( عمومي )"</f>
        <v>انبار مركزي ( عمومي )</v>
      </c>
      <c r="D1084" s="3" t="str">
        <f>"0211000986"</f>
        <v>0211000986</v>
      </c>
      <c r="E1084" s="3" t="str">
        <f>"سيار برق محافظ دار 4 پريزه"</f>
        <v>سيار برق محافظ دار 4 پريزه</v>
      </c>
      <c r="F1084" s="3" t="str">
        <f t="shared" si="137"/>
        <v>عدد</v>
      </c>
      <c r="G1084" s="3">
        <v>28</v>
      </c>
      <c r="H1084" s="5">
        <v>5200000</v>
      </c>
    </row>
    <row r="1085" spans="1:8" ht="18.75" x14ac:dyDescent="0.2">
      <c r="A1085" s="3" t="str">
        <f t="shared" si="131"/>
        <v>98/11/26</v>
      </c>
      <c r="B1085" s="3" t="str">
        <f t="shared" si="132"/>
        <v>كالاهاي مصرفي</v>
      </c>
      <c r="C1085" s="3" t="str">
        <f>"انبار مصرفي ZU1"</f>
        <v>انبار مصرفي ZU1</v>
      </c>
      <c r="D1085" s="3" t="str">
        <f>"0206000528"</f>
        <v>0206000528</v>
      </c>
      <c r="E1085" s="3" t="str">
        <f>"سه راه پلي اتيلن 315 -16 اتمسفر - 90درجه پي 100"</f>
        <v>سه راه پلي اتيلن 315 -16 اتمسفر - 90درجه پي 100</v>
      </c>
      <c r="F1085" s="3" t="str">
        <f t="shared" si="137"/>
        <v>عدد</v>
      </c>
      <c r="G1085" s="3">
        <v>1</v>
      </c>
      <c r="H1085" s="5">
        <v>5250000</v>
      </c>
    </row>
    <row r="1086" spans="1:8" ht="18.75" x14ac:dyDescent="0.2">
      <c r="A1086" s="3" t="str">
        <f t="shared" si="131"/>
        <v>98/11/26</v>
      </c>
      <c r="B1086" s="3" t="str">
        <f t="shared" si="132"/>
        <v>كالاهاي مصرفي</v>
      </c>
      <c r="C1086" s="3" t="str">
        <f>"انبار مركزي ( عمومي )"</f>
        <v>انبار مركزي ( عمومي )</v>
      </c>
      <c r="D1086" s="3" t="str">
        <f>"0213000579"</f>
        <v>0213000579</v>
      </c>
      <c r="E1086" s="3" t="str">
        <f>"برس كاسه اي استيل"</f>
        <v>برس كاسه اي استيل</v>
      </c>
      <c r="F1086" s="3" t="str">
        <f t="shared" si="137"/>
        <v>عدد</v>
      </c>
      <c r="G1086" s="3">
        <v>15</v>
      </c>
      <c r="H1086" s="5">
        <v>5250000</v>
      </c>
    </row>
    <row r="1087" spans="1:8" ht="18.75" x14ac:dyDescent="0.2">
      <c r="A1087" s="3" t="str">
        <f t="shared" si="131"/>
        <v>98/11/26</v>
      </c>
      <c r="B1087" s="3" t="str">
        <f t="shared" si="132"/>
        <v>كالاهاي مصرفي</v>
      </c>
      <c r="C1087" s="3" t="str">
        <f>"انبار مركزي ( عمومي )"</f>
        <v>انبار مركزي ( عمومي )</v>
      </c>
      <c r="D1087" s="3" t="str">
        <f>"0202000040"</f>
        <v>0202000040</v>
      </c>
      <c r="E1087" s="3" t="str">
        <f>"كليد محافظ جان سه فاز 40A"</f>
        <v>كليد محافظ جان سه فاز 40A</v>
      </c>
      <c r="F1087" s="3" t="str">
        <f t="shared" si="137"/>
        <v>عدد</v>
      </c>
      <c r="G1087" s="3">
        <v>6</v>
      </c>
      <c r="H1087" s="5">
        <v>5280000</v>
      </c>
    </row>
    <row r="1088" spans="1:8" ht="18.75" x14ac:dyDescent="0.2">
      <c r="A1088" s="3" t="str">
        <f t="shared" si="131"/>
        <v>98/11/26</v>
      </c>
      <c r="B1088" s="3" t="str">
        <f t="shared" si="132"/>
        <v>كالاهاي مصرفي</v>
      </c>
      <c r="C1088" s="3" t="str">
        <f>"انبار مصرفي ZU1"</f>
        <v>انبار مصرفي ZU1</v>
      </c>
      <c r="D1088" s="3" t="str">
        <f>"0204000314"</f>
        <v>0204000314</v>
      </c>
      <c r="E1088" s="3" t="str">
        <f>"كاسه نمد 15*210*180"</f>
        <v>كاسه نمد 15*210*180</v>
      </c>
      <c r="F1088" s="3" t="str">
        <f t="shared" si="137"/>
        <v>عدد</v>
      </c>
      <c r="G1088" s="3">
        <v>4</v>
      </c>
      <c r="H1088" s="5">
        <v>5280000</v>
      </c>
    </row>
    <row r="1089" spans="1:8" ht="18.75" x14ac:dyDescent="0.2">
      <c r="A1089" s="3" t="str">
        <f t="shared" si="131"/>
        <v>98/11/26</v>
      </c>
      <c r="B1089" s="3" t="str">
        <f t="shared" si="132"/>
        <v>كالاهاي مصرفي</v>
      </c>
      <c r="C1089" s="3" t="str">
        <f>"انبار مركزي ( عمومي )"</f>
        <v>انبار مركزي ( عمومي )</v>
      </c>
      <c r="D1089" s="3" t="str">
        <f>"0213000875"</f>
        <v>0213000875</v>
      </c>
      <c r="E1089" s="3" t="str">
        <f>"پوساب P3000 معمولي"</f>
        <v>پوساب P3000 معمولي</v>
      </c>
      <c r="F1089" s="3" t="str">
        <f>"برگ"</f>
        <v>برگ</v>
      </c>
      <c r="G1089" s="3">
        <v>200</v>
      </c>
      <c r="H1089" s="5">
        <v>5300000</v>
      </c>
    </row>
    <row r="1090" spans="1:8" ht="18.75" x14ac:dyDescent="0.2">
      <c r="A1090" s="3" t="str">
        <f t="shared" ref="A1090:A1153" si="138">"98/11/26"</f>
        <v>98/11/26</v>
      </c>
      <c r="B1090" s="3" t="str">
        <f t="shared" ref="B1090:B1153" si="139">"كالاهاي مصرفي"</f>
        <v>كالاهاي مصرفي</v>
      </c>
      <c r="C1090" s="3" t="str">
        <f>"انبار مصرفي ZU1"</f>
        <v>انبار مصرفي ZU1</v>
      </c>
      <c r="D1090" s="3" t="str">
        <f>"0106000135"</f>
        <v>0106000135</v>
      </c>
      <c r="E1090" s="3" t="str">
        <f>"گريس آبشار يك كيلويي"</f>
        <v>گريس آبشار يك كيلويي</v>
      </c>
      <c r="F1090" s="3" t="str">
        <f t="shared" ref="F1090:F1096" si="140">"عدد"</f>
        <v>عدد</v>
      </c>
      <c r="G1090" s="3">
        <v>100</v>
      </c>
      <c r="H1090" s="5">
        <v>5328689</v>
      </c>
    </row>
    <row r="1091" spans="1:8" ht="18.75" x14ac:dyDescent="0.2">
      <c r="A1091" s="3" t="str">
        <f t="shared" si="138"/>
        <v>98/11/26</v>
      </c>
      <c r="B1091" s="3" t="str">
        <f t="shared" si="139"/>
        <v>كالاهاي مصرفي</v>
      </c>
      <c r="C1091" s="3" t="str">
        <f>"انبار مركزي ( عمومي )"</f>
        <v>انبار مركزي ( عمومي )</v>
      </c>
      <c r="D1091" s="3" t="str">
        <f>"0203000217"</f>
        <v>0203000217</v>
      </c>
      <c r="E1091" s="3" t="str">
        <f>"آچار يكسر رينگ و يكسر تخت 19"</f>
        <v>آچار يكسر رينگ و يكسر تخت 19</v>
      </c>
      <c r="F1091" s="3" t="str">
        <f t="shared" si="140"/>
        <v>عدد</v>
      </c>
      <c r="G1091" s="3">
        <v>16</v>
      </c>
      <c r="H1091" s="5">
        <v>5330526</v>
      </c>
    </row>
    <row r="1092" spans="1:8" ht="18.75" x14ac:dyDescent="0.2">
      <c r="A1092" s="3" t="str">
        <f t="shared" si="138"/>
        <v>98/11/26</v>
      </c>
      <c r="B1092" s="3" t="str">
        <f t="shared" si="139"/>
        <v>كالاهاي مصرفي</v>
      </c>
      <c r="C1092" s="3" t="str">
        <f>"انبار مركزي ( عمومي )"</f>
        <v>انبار مركزي ( عمومي )</v>
      </c>
      <c r="D1092" s="3" t="str">
        <f>"0203000068"</f>
        <v>0203000068</v>
      </c>
      <c r="E1092" s="3" t="str">
        <f>"پيچ گوشتي با نوك درفشي"</f>
        <v>پيچ گوشتي با نوك درفشي</v>
      </c>
      <c r="F1092" s="3" t="str">
        <f t="shared" si="140"/>
        <v>عدد</v>
      </c>
      <c r="G1092" s="3">
        <v>70</v>
      </c>
      <c r="H1092" s="5">
        <v>5350625</v>
      </c>
    </row>
    <row r="1093" spans="1:8" ht="18.75" x14ac:dyDescent="0.2">
      <c r="A1093" s="3" t="str">
        <f t="shared" si="138"/>
        <v>98/11/26</v>
      </c>
      <c r="B1093" s="3" t="str">
        <f t="shared" si="139"/>
        <v>كالاهاي مصرفي</v>
      </c>
      <c r="C1093" s="3" t="str">
        <f>"انبار مصرفي ZU1"</f>
        <v>انبار مصرفي ZU1</v>
      </c>
      <c r="D1093" s="3" t="str">
        <f>"0204001308"</f>
        <v>0204001308</v>
      </c>
      <c r="E1093" s="3" t="str">
        <f>"اورينگ HNBR 150*5.8"</f>
        <v>اورينگ HNBR 150*5.8</v>
      </c>
      <c r="F1093" s="3" t="str">
        <f t="shared" si="140"/>
        <v>عدد</v>
      </c>
      <c r="G1093" s="3">
        <v>17</v>
      </c>
      <c r="H1093" s="5">
        <v>5389000</v>
      </c>
    </row>
    <row r="1094" spans="1:8" ht="18.75" x14ac:dyDescent="0.2">
      <c r="A1094" s="3" t="str">
        <f t="shared" si="138"/>
        <v>98/11/26</v>
      </c>
      <c r="B1094" s="3" t="str">
        <f t="shared" si="139"/>
        <v>كالاهاي مصرفي</v>
      </c>
      <c r="C1094" s="3" t="str">
        <f>"انبار مركزي ( عمومي )"</f>
        <v>انبار مركزي ( عمومي )</v>
      </c>
      <c r="D1094" s="3" t="str">
        <f>"0203000147"</f>
        <v>0203000147</v>
      </c>
      <c r="E1094" s="3" t="str">
        <f>"متر پارچه اي 30 متري"</f>
        <v>متر پارچه اي 30 متري</v>
      </c>
      <c r="F1094" s="3" t="str">
        <f t="shared" si="140"/>
        <v>عدد</v>
      </c>
      <c r="G1094" s="3">
        <v>4</v>
      </c>
      <c r="H1094" s="5">
        <v>5400000</v>
      </c>
    </row>
    <row r="1095" spans="1:8" ht="18.75" x14ac:dyDescent="0.2">
      <c r="A1095" s="3" t="str">
        <f t="shared" si="138"/>
        <v>98/11/26</v>
      </c>
      <c r="B1095" s="3" t="str">
        <f t="shared" si="139"/>
        <v>كالاهاي مصرفي</v>
      </c>
      <c r="C1095" s="3" t="str">
        <f>"انبار مصرفي ZU1"</f>
        <v>انبار مصرفي ZU1</v>
      </c>
      <c r="D1095" s="3" t="str">
        <f>"0204001003"</f>
        <v>0204001003</v>
      </c>
      <c r="E1095" s="3" t="str">
        <f>"بيرينگ 6213 2RS/C3"</f>
        <v>بيرينگ 6213 2RS/C3</v>
      </c>
      <c r="F1095" s="3" t="str">
        <f t="shared" si="140"/>
        <v>عدد</v>
      </c>
      <c r="G1095" s="3">
        <v>6</v>
      </c>
      <c r="H1095" s="5">
        <v>5400000</v>
      </c>
    </row>
    <row r="1096" spans="1:8" ht="18.75" x14ac:dyDescent="0.2">
      <c r="A1096" s="3" t="str">
        <f t="shared" si="138"/>
        <v>98/11/26</v>
      </c>
      <c r="B1096" s="3" t="str">
        <f t="shared" si="139"/>
        <v>كالاهاي مصرفي</v>
      </c>
      <c r="C1096" s="3" t="str">
        <f>"انبار مركزي ( عمومي )"</f>
        <v>انبار مركزي ( عمومي )</v>
      </c>
      <c r="D1096" s="3" t="str">
        <f>"0206000249"</f>
        <v>0206000249</v>
      </c>
      <c r="E1096" s="3" t="str">
        <f>"سه راهي پرسي نيوپايپ 20*20*20"</f>
        <v>سه راهي پرسي نيوپايپ 20*20*20</v>
      </c>
      <c r="F1096" s="3" t="str">
        <f t="shared" si="140"/>
        <v>عدد</v>
      </c>
      <c r="G1096" s="3">
        <v>20</v>
      </c>
      <c r="H1096" s="5">
        <v>5400000</v>
      </c>
    </row>
    <row r="1097" spans="1:8" ht="18.75" x14ac:dyDescent="0.2">
      <c r="A1097" s="3" t="str">
        <f t="shared" si="138"/>
        <v>98/11/26</v>
      </c>
      <c r="B1097" s="3" t="str">
        <f t="shared" si="139"/>
        <v>كالاهاي مصرفي</v>
      </c>
      <c r="C1097" s="3" t="str">
        <f>"انبار مصرفي ZU1"</f>
        <v>انبار مصرفي ZU1</v>
      </c>
      <c r="D1097" s="3" t="str">
        <f>"0206000524"</f>
        <v>0206000524</v>
      </c>
      <c r="E1097" s="3" t="str">
        <f>"لوله پلي اتيلن 125-16 اتمسفر - پي 100"</f>
        <v>لوله پلي اتيلن 125-16 اتمسفر - پي 100</v>
      </c>
      <c r="F1097" s="3" t="str">
        <f>"متر"</f>
        <v>متر</v>
      </c>
      <c r="G1097" s="3">
        <v>12</v>
      </c>
      <c r="H1097" s="5">
        <v>5400000</v>
      </c>
    </row>
    <row r="1098" spans="1:8" ht="18.75" x14ac:dyDescent="0.2">
      <c r="A1098" s="3" t="str">
        <f t="shared" si="138"/>
        <v>98/11/26</v>
      </c>
      <c r="B1098" s="3" t="str">
        <f t="shared" si="139"/>
        <v>كالاهاي مصرفي</v>
      </c>
      <c r="C1098" s="3" t="str">
        <f>"انبار مصرفي ZU1"</f>
        <v>انبار مصرفي ZU1</v>
      </c>
      <c r="D1098" s="3" t="str">
        <f>"0213000128"</f>
        <v>0213000128</v>
      </c>
      <c r="E1098" s="3" t="str">
        <f>"واشر قفلي M24"</f>
        <v>واشر قفلي M24</v>
      </c>
      <c r="F1098" s="3" t="str">
        <f t="shared" ref="F1098:F1107" si="141">"عدد"</f>
        <v>عدد</v>
      </c>
      <c r="G1098" s="3">
        <v>450</v>
      </c>
      <c r="H1098" s="5">
        <v>5400000</v>
      </c>
    </row>
    <row r="1099" spans="1:8" ht="18.75" x14ac:dyDescent="0.2">
      <c r="A1099" s="3" t="str">
        <f t="shared" si="138"/>
        <v>98/11/26</v>
      </c>
      <c r="B1099" s="3" t="str">
        <f t="shared" si="139"/>
        <v>كالاهاي مصرفي</v>
      </c>
      <c r="C1099" s="3" t="str">
        <f>"انبار مصرفي ZU1"</f>
        <v>انبار مصرفي ZU1</v>
      </c>
      <c r="D1099" s="3" t="str">
        <f>"0204000306"</f>
        <v>0204000306</v>
      </c>
      <c r="E1099" s="3" t="str">
        <f>"كاسه نمد 12*150*120"</f>
        <v>كاسه نمد 12*150*120</v>
      </c>
      <c r="F1099" s="3" t="str">
        <f t="shared" si="141"/>
        <v>عدد</v>
      </c>
      <c r="G1099" s="3">
        <v>16</v>
      </c>
      <c r="H1099" s="5">
        <v>5413334</v>
      </c>
    </row>
    <row r="1100" spans="1:8" ht="18.75" x14ac:dyDescent="0.2">
      <c r="A1100" s="3" t="str">
        <f t="shared" si="138"/>
        <v>98/11/26</v>
      </c>
      <c r="B1100" s="3" t="str">
        <f t="shared" si="139"/>
        <v>كالاهاي مصرفي</v>
      </c>
      <c r="C1100" s="3" t="str">
        <f>"انبار مصرفي ZU1"</f>
        <v>انبار مصرفي ZU1</v>
      </c>
      <c r="D1100" s="3" t="str">
        <f>"0202000414"</f>
        <v>0202000414</v>
      </c>
      <c r="E1100" s="3" t="str">
        <f>"گلند فلزي کابل در سايزهاي مختلف"</f>
        <v>گلند فلزي کابل در سايزهاي مختلف</v>
      </c>
      <c r="F1100" s="3" t="str">
        <f t="shared" si="141"/>
        <v>عدد</v>
      </c>
      <c r="G1100" s="3">
        <v>271</v>
      </c>
      <c r="H1100" s="5">
        <v>5420000</v>
      </c>
    </row>
    <row r="1101" spans="1:8" ht="18.75" x14ac:dyDescent="0.2">
      <c r="A1101" s="3" t="str">
        <f t="shared" si="138"/>
        <v>98/11/26</v>
      </c>
      <c r="B1101" s="3" t="str">
        <f t="shared" si="139"/>
        <v>كالاهاي مصرفي</v>
      </c>
      <c r="C1101" s="3" t="str">
        <f>"انبار مصرفي ZU1"</f>
        <v>انبار مصرفي ZU1</v>
      </c>
      <c r="D1101" s="3" t="str">
        <f>"0204001662"</f>
        <v>0204001662</v>
      </c>
      <c r="E1101" s="3" t="str">
        <f>"اورينگ HNBR124 *3.5"</f>
        <v>اورينگ HNBR124 *3.5</v>
      </c>
      <c r="F1101" s="3" t="str">
        <f t="shared" si="141"/>
        <v>عدد</v>
      </c>
      <c r="G1101" s="3">
        <v>18</v>
      </c>
      <c r="H1101" s="5">
        <v>5436000</v>
      </c>
    </row>
    <row r="1102" spans="1:8" ht="18.75" x14ac:dyDescent="0.2">
      <c r="A1102" s="3" t="str">
        <f t="shared" si="138"/>
        <v>98/11/26</v>
      </c>
      <c r="B1102" s="3" t="str">
        <f t="shared" si="139"/>
        <v>كالاهاي مصرفي</v>
      </c>
      <c r="C1102" s="3" t="str">
        <f>"انبار مركزي ( عمومي )"</f>
        <v>انبار مركزي ( عمومي )</v>
      </c>
      <c r="D1102" s="3" t="str">
        <f>"0906000334"</f>
        <v>0906000334</v>
      </c>
      <c r="E1102" s="3" t="str">
        <f>"پرده نمايش ديواري"</f>
        <v>پرده نمايش ديواري</v>
      </c>
      <c r="F1102" s="3" t="str">
        <f t="shared" si="141"/>
        <v>عدد</v>
      </c>
      <c r="G1102" s="3">
        <v>2</v>
      </c>
      <c r="H1102" s="5">
        <v>5466667</v>
      </c>
    </row>
    <row r="1103" spans="1:8" ht="18.75" x14ac:dyDescent="0.2">
      <c r="A1103" s="3" t="str">
        <f t="shared" si="138"/>
        <v>98/11/26</v>
      </c>
      <c r="B1103" s="3" t="str">
        <f t="shared" si="139"/>
        <v>كالاهاي مصرفي</v>
      </c>
      <c r="C1103" s="3" t="str">
        <f>"انبار مركزي ( عمومي )"</f>
        <v>انبار مركزي ( عمومي )</v>
      </c>
      <c r="D1103" s="3" t="str">
        <f>"0213000211"</f>
        <v>0213000211</v>
      </c>
      <c r="E1103" s="3" t="str">
        <f>"صفحه سنگ برش استيل بزرگ 22*1.6*180"</f>
        <v>صفحه سنگ برش استيل بزرگ 22*1.6*180</v>
      </c>
      <c r="F1103" s="3" t="str">
        <f t="shared" si="141"/>
        <v>عدد</v>
      </c>
      <c r="G1103" s="3">
        <v>20</v>
      </c>
      <c r="H1103" s="5">
        <v>5475000</v>
      </c>
    </row>
    <row r="1104" spans="1:8" ht="18.75" x14ac:dyDescent="0.2">
      <c r="A1104" s="3" t="str">
        <f t="shared" si="138"/>
        <v>98/11/26</v>
      </c>
      <c r="B1104" s="3" t="str">
        <f t="shared" si="139"/>
        <v>كالاهاي مصرفي</v>
      </c>
      <c r="C1104" s="3" t="str">
        <f>"انبار مصرفي ZU1"</f>
        <v>انبار مصرفي ZU1</v>
      </c>
      <c r="D1104" s="3" t="str">
        <f>"0204001087"</f>
        <v>0204001087</v>
      </c>
      <c r="E1104" s="3" t="str">
        <f>"كاسه نمد 13*130*100"</f>
        <v>كاسه نمد 13*130*100</v>
      </c>
      <c r="F1104" s="3" t="str">
        <f t="shared" si="141"/>
        <v>عدد</v>
      </c>
      <c r="G1104" s="3">
        <v>6</v>
      </c>
      <c r="H1104" s="5">
        <v>5500000</v>
      </c>
    </row>
    <row r="1105" spans="1:8" ht="18.75" x14ac:dyDescent="0.2">
      <c r="A1105" s="3" t="str">
        <f t="shared" si="138"/>
        <v>98/11/26</v>
      </c>
      <c r="B1105" s="3" t="str">
        <f t="shared" si="139"/>
        <v>كالاهاي مصرفي</v>
      </c>
      <c r="C1105" s="3" t="str">
        <f>"انبار مركزي ( عمومي )"</f>
        <v>انبار مركزي ( عمومي )</v>
      </c>
      <c r="D1105" s="3" t="str">
        <f>"0213000832"</f>
        <v>0213000832</v>
      </c>
      <c r="E1105" s="3" t="str">
        <f>"سمباده انگشتي P80 -40*30*6mm"</f>
        <v>سمباده انگشتي P80 -40*30*6mm</v>
      </c>
      <c r="F1105" s="3" t="str">
        <f t="shared" si="141"/>
        <v>عدد</v>
      </c>
      <c r="G1105" s="3">
        <v>100</v>
      </c>
      <c r="H1105" s="5">
        <v>5500000</v>
      </c>
    </row>
    <row r="1106" spans="1:8" ht="18.75" x14ac:dyDescent="0.2">
      <c r="A1106" s="3" t="str">
        <f t="shared" si="138"/>
        <v>98/11/26</v>
      </c>
      <c r="B1106" s="3" t="str">
        <f t="shared" si="139"/>
        <v>كالاهاي مصرفي</v>
      </c>
      <c r="C1106" s="3" t="str">
        <f>"انبار مركزي ( عمومي )"</f>
        <v>انبار مركزي ( عمومي )</v>
      </c>
      <c r="D1106" s="3" t="str">
        <f>"0213000833"</f>
        <v>0213000833</v>
      </c>
      <c r="E1106" s="3" t="str">
        <f>"سمباده انگشتي P60 -40*30*6mm"</f>
        <v>سمباده انگشتي P60 -40*30*6mm</v>
      </c>
      <c r="F1106" s="3" t="str">
        <f t="shared" si="141"/>
        <v>عدد</v>
      </c>
      <c r="G1106" s="3">
        <v>100</v>
      </c>
      <c r="H1106" s="5">
        <v>5500000</v>
      </c>
    </row>
    <row r="1107" spans="1:8" ht="18.75" x14ac:dyDescent="0.2">
      <c r="A1107" s="3" t="str">
        <f t="shared" si="138"/>
        <v>98/11/26</v>
      </c>
      <c r="B1107" s="3" t="str">
        <f t="shared" si="139"/>
        <v>كالاهاي مصرفي</v>
      </c>
      <c r="C1107" s="3" t="str">
        <f>"انبار مصرفي ZU1"</f>
        <v>انبار مصرفي ZU1</v>
      </c>
      <c r="D1107" s="3" t="str">
        <f>"0206000656"</f>
        <v>0206000656</v>
      </c>
      <c r="E1107" s="3" t="str">
        <f>"بست شيلنگي 1/4*1  اينچ"</f>
        <v>بست شيلنگي 1/4*1  اينچ</v>
      </c>
      <c r="F1107" s="3" t="str">
        <f t="shared" si="141"/>
        <v>عدد</v>
      </c>
      <c r="G1107" s="3">
        <v>137</v>
      </c>
      <c r="H1107" s="5">
        <v>5554334</v>
      </c>
    </row>
    <row r="1108" spans="1:8" ht="18.75" x14ac:dyDescent="0.2">
      <c r="A1108" s="3" t="str">
        <f t="shared" si="138"/>
        <v>98/11/26</v>
      </c>
      <c r="B1108" s="3" t="str">
        <f t="shared" si="139"/>
        <v>كالاهاي مصرفي</v>
      </c>
      <c r="C1108" s="3" t="str">
        <f>"انبار مصرفي ZU1"</f>
        <v>انبار مصرفي ZU1</v>
      </c>
      <c r="D1108" s="3" t="str">
        <f>"0204001892"</f>
        <v>0204001892</v>
      </c>
      <c r="E1108" s="3" t="str">
        <f>"تسمه پروانه A94"</f>
        <v>تسمه پروانه A94</v>
      </c>
      <c r="F1108" s="3" t="str">
        <f>"حلقه"</f>
        <v>حلقه</v>
      </c>
      <c r="G1108" s="3">
        <v>18</v>
      </c>
      <c r="H1108" s="5">
        <v>5598000</v>
      </c>
    </row>
    <row r="1109" spans="1:8" ht="18.75" x14ac:dyDescent="0.2">
      <c r="A1109" s="3" t="str">
        <f t="shared" si="138"/>
        <v>98/11/26</v>
      </c>
      <c r="B1109" s="3" t="str">
        <f t="shared" si="139"/>
        <v>كالاهاي مصرفي</v>
      </c>
      <c r="C1109" s="3" t="str">
        <f>"انبار مصرفي ZU1"</f>
        <v>انبار مصرفي ZU1</v>
      </c>
      <c r="D1109" s="3" t="str">
        <f>"0204001835"</f>
        <v>0204001835</v>
      </c>
      <c r="E1109" s="3" t="str">
        <f>"گسكت مقاوم به آب داغ و بخار با تراكم 1000 ضخامت 0.6 ميليمتر"</f>
        <v>گسكت مقاوم به آب داغ و بخار با تراكم 1000 ضخامت 0.6 ميليمتر</v>
      </c>
      <c r="F1109" s="3" t="str">
        <f>"متر مربع"</f>
        <v>متر مربع</v>
      </c>
      <c r="G1109" s="3">
        <v>8</v>
      </c>
      <c r="H1109" s="5">
        <v>5600000</v>
      </c>
    </row>
    <row r="1110" spans="1:8" ht="18.75" x14ac:dyDescent="0.2">
      <c r="A1110" s="3" t="str">
        <f t="shared" si="138"/>
        <v>98/11/26</v>
      </c>
      <c r="B1110" s="3" t="str">
        <f t="shared" si="139"/>
        <v>كالاهاي مصرفي</v>
      </c>
      <c r="C1110" s="3" t="str">
        <f>"انبار مصرفي ZU1"</f>
        <v>انبار مصرفي ZU1</v>
      </c>
      <c r="D1110" s="3" t="str">
        <f>"0206000277"</f>
        <v>0206000277</v>
      </c>
      <c r="E1110" s="3" t="str">
        <f>"بست شيلنگي 3 اينچ"</f>
        <v>بست شيلنگي 3 اينچ</v>
      </c>
      <c r="F1110" s="3" t="str">
        <f t="shared" ref="F1110:F1122" si="142">"عدد"</f>
        <v>عدد</v>
      </c>
      <c r="G1110" s="3">
        <v>80</v>
      </c>
      <c r="H1110" s="5">
        <v>5600000</v>
      </c>
    </row>
    <row r="1111" spans="1:8" ht="18.75" x14ac:dyDescent="0.2">
      <c r="A1111" s="3" t="str">
        <f t="shared" si="138"/>
        <v>98/11/26</v>
      </c>
      <c r="B1111" s="3" t="str">
        <f t="shared" si="139"/>
        <v>كالاهاي مصرفي</v>
      </c>
      <c r="C1111" s="3" t="str">
        <f>"انبار مركزي ( عمومي )"</f>
        <v>انبار مركزي ( عمومي )</v>
      </c>
      <c r="D1111" s="3" t="str">
        <f>"0203000245"</f>
        <v>0203000245</v>
      </c>
      <c r="E1111" s="3" t="str">
        <f>"مته الماسه پنج شياره نمره 18"</f>
        <v>مته الماسه پنج شياره نمره 18</v>
      </c>
      <c r="F1111" s="3" t="str">
        <f t="shared" si="142"/>
        <v>عدد</v>
      </c>
      <c r="G1111" s="3">
        <v>1</v>
      </c>
      <c r="H1111" s="5">
        <v>5602000</v>
      </c>
    </row>
    <row r="1112" spans="1:8" ht="18.75" x14ac:dyDescent="0.2">
      <c r="A1112" s="3" t="str">
        <f t="shared" si="138"/>
        <v>98/11/26</v>
      </c>
      <c r="B1112" s="3" t="str">
        <f t="shared" si="139"/>
        <v>كالاهاي مصرفي</v>
      </c>
      <c r="C1112" s="3" t="str">
        <f t="shared" ref="C1112:C1119" si="143">"انبار مصرفي ZU1"</f>
        <v>انبار مصرفي ZU1</v>
      </c>
      <c r="D1112" s="3" t="str">
        <f>"0204001673"</f>
        <v>0204001673</v>
      </c>
      <c r="E1112" s="3" t="str">
        <f>"اورينگ HNBR110*3.5"</f>
        <v>اورينگ HNBR110*3.5</v>
      </c>
      <c r="F1112" s="3" t="str">
        <f t="shared" si="142"/>
        <v>عدد</v>
      </c>
      <c r="G1112" s="3">
        <v>20</v>
      </c>
      <c r="H1112" s="5">
        <v>5605000</v>
      </c>
    </row>
    <row r="1113" spans="1:8" ht="18.75" x14ac:dyDescent="0.2">
      <c r="A1113" s="3" t="str">
        <f t="shared" si="138"/>
        <v>98/11/26</v>
      </c>
      <c r="B1113" s="3" t="str">
        <f t="shared" si="139"/>
        <v>كالاهاي مصرفي</v>
      </c>
      <c r="C1113" s="3" t="str">
        <f t="shared" si="143"/>
        <v>انبار مصرفي ZU1</v>
      </c>
      <c r="D1113" s="3" t="str">
        <f>"0204000977"</f>
        <v>0204000977</v>
      </c>
      <c r="E1113" s="3" t="str">
        <f>"بيرينگ 3206 ATN9"</f>
        <v>بيرينگ 3206 ATN9</v>
      </c>
      <c r="F1113" s="3" t="str">
        <f t="shared" si="142"/>
        <v>عدد</v>
      </c>
      <c r="G1113" s="3">
        <v>6</v>
      </c>
      <c r="H1113" s="5">
        <v>5658000</v>
      </c>
    </row>
    <row r="1114" spans="1:8" ht="18.75" x14ac:dyDescent="0.2">
      <c r="A1114" s="3" t="str">
        <f t="shared" si="138"/>
        <v>98/11/26</v>
      </c>
      <c r="B1114" s="3" t="str">
        <f t="shared" si="139"/>
        <v>كالاهاي مصرفي</v>
      </c>
      <c r="C1114" s="3" t="str">
        <f t="shared" si="143"/>
        <v>انبار مصرفي ZU1</v>
      </c>
      <c r="D1114" s="3" t="str">
        <f>"0215000098"</f>
        <v>0215000098</v>
      </c>
      <c r="E1114" s="3" t="str">
        <f>"فيلتر روغن"</f>
        <v>فيلتر روغن</v>
      </c>
      <c r="F1114" s="3" t="str">
        <f t="shared" si="142"/>
        <v>عدد</v>
      </c>
      <c r="G1114" s="3">
        <v>5</v>
      </c>
      <c r="H1114" s="5">
        <v>5667104</v>
      </c>
    </row>
    <row r="1115" spans="1:8" ht="18.75" x14ac:dyDescent="0.2">
      <c r="A1115" s="3" t="str">
        <f t="shared" si="138"/>
        <v>98/11/26</v>
      </c>
      <c r="B1115" s="3" t="str">
        <f t="shared" si="139"/>
        <v>كالاهاي مصرفي</v>
      </c>
      <c r="C1115" s="3" t="str">
        <f t="shared" si="143"/>
        <v>انبار مصرفي ZU1</v>
      </c>
      <c r="D1115" s="3" t="str">
        <f>"0105000094"</f>
        <v>0105000094</v>
      </c>
      <c r="E1115" s="3" t="str">
        <f>"چسب سيليكون همه كاره پمادي"</f>
        <v>چسب سيليكون همه كاره پمادي</v>
      </c>
      <c r="F1115" s="3" t="str">
        <f t="shared" si="142"/>
        <v>عدد</v>
      </c>
      <c r="G1115" s="3">
        <v>165</v>
      </c>
      <c r="H1115" s="5">
        <v>5700000</v>
      </c>
    </row>
    <row r="1116" spans="1:8" ht="18.75" x14ac:dyDescent="0.2">
      <c r="A1116" s="3" t="str">
        <f t="shared" si="138"/>
        <v>98/11/26</v>
      </c>
      <c r="B1116" s="3" t="str">
        <f t="shared" si="139"/>
        <v>كالاهاي مصرفي</v>
      </c>
      <c r="C1116" s="3" t="str">
        <f t="shared" si="143"/>
        <v>انبار مصرفي ZU1</v>
      </c>
      <c r="D1116" s="3" t="str">
        <f>"0204000602"</f>
        <v>0204000602</v>
      </c>
      <c r="E1116" s="3" t="str">
        <f>"بيرينگ 6317"</f>
        <v>بيرينگ 6317</v>
      </c>
      <c r="F1116" s="3" t="str">
        <f t="shared" si="142"/>
        <v>عدد</v>
      </c>
      <c r="G1116" s="3">
        <v>2</v>
      </c>
      <c r="H1116" s="5">
        <v>5700000</v>
      </c>
    </row>
    <row r="1117" spans="1:8" ht="18.75" x14ac:dyDescent="0.2">
      <c r="A1117" s="3" t="str">
        <f t="shared" si="138"/>
        <v>98/11/26</v>
      </c>
      <c r="B1117" s="3" t="str">
        <f t="shared" si="139"/>
        <v>كالاهاي مصرفي</v>
      </c>
      <c r="C1117" s="3" t="str">
        <f t="shared" si="143"/>
        <v>انبار مصرفي ZU1</v>
      </c>
      <c r="D1117" s="3" t="str">
        <f>"0204000669"</f>
        <v>0204000669</v>
      </c>
      <c r="E1117" s="3" t="str">
        <f>"واشر اورينگ رزيني NBR 140( -2) X 5.8"</f>
        <v>واشر اورينگ رزيني NBR 140( -2) X 5.8</v>
      </c>
      <c r="F1117" s="3" t="str">
        <f t="shared" si="142"/>
        <v>عدد</v>
      </c>
      <c r="G1117" s="3">
        <v>20</v>
      </c>
      <c r="H1117" s="5">
        <v>5700000</v>
      </c>
    </row>
    <row r="1118" spans="1:8" ht="18.75" x14ac:dyDescent="0.2">
      <c r="A1118" s="3" t="str">
        <f t="shared" si="138"/>
        <v>98/11/26</v>
      </c>
      <c r="B1118" s="3" t="str">
        <f t="shared" si="139"/>
        <v>كالاهاي مصرفي</v>
      </c>
      <c r="C1118" s="3" t="str">
        <f t="shared" si="143"/>
        <v>انبار مصرفي ZU1</v>
      </c>
      <c r="D1118" s="3" t="str">
        <f>"0204001083"</f>
        <v>0204001083</v>
      </c>
      <c r="E1118" s="3" t="str">
        <f>"بيرينگ 6022"</f>
        <v>بيرينگ 6022</v>
      </c>
      <c r="F1118" s="3" t="str">
        <f t="shared" si="142"/>
        <v>عدد</v>
      </c>
      <c r="G1118" s="3">
        <v>3</v>
      </c>
      <c r="H1118" s="5">
        <v>5700000</v>
      </c>
    </row>
    <row r="1119" spans="1:8" ht="18.75" x14ac:dyDescent="0.2">
      <c r="A1119" s="3" t="str">
        <f t="shared" si="138"/>
        <v>98/11/26</v>
      </c>
      <c r="B1119" s="3" t="str">
        <f t="shared" si="139"/>
        <v>كالاهاي مصرفي</v>
      </c>
      <c r="C1119" s="3" t="str">
        <f t="shared" si="143"/>
        <v>انبار مصرفي ZU1</v>
      </c>
      <c r="D1119" s="3" t="str">
        <f>"0204001459"</f>
        <v>0204001459</v>
      </c>
      <c r="E1119" s="3" t="str">
        <f>"اورينگ EPDM 170*5"</f>
        <v>اورينگ EPDM 170*5</v>
      </c>
      <c r="F1119" s="3" t="str">
        <f t="shared" si="142"/>
        <v>عدد</v>
      </c>
      <c r="G1119" s="3">
        <v>19</v>
      </c>
      <c r="H1119" s="5">
        <v>5700000</v>
      </c>
    </row>
    <row r="1120" spans="1:8" ht="18.75" x14ac:dyDescent="0.2">
      <c r="A1120" s="3" t="str">
        <f t="shared" si="138"/>
        <v>98/11/26</v>
      </c>
      <c r="B1120" s="3" t="str">
        <f t="shared" si="139"/>
        <v>كالاهاي مصرفي</v>
      </c>
      <c r="C1120" s="3" t="str">
        <f>"انبار مركزي ( عمومي )"</f>
        <v>انبار مركزي ( عمومي )</v>
      </c>
      <c r="D1120" s="3" t="str">
        <f>"0211000340"</f>
        <v>0211000340</v>
      </c>
      <c r="E1120" s="3" t="str">
        <f>"فرز انگشتي الماسه نمره 4"</f>
        <v>فرز انگشتي الماسه نمره 4</v>
      </c>
      <c r="F1120" s="3" t="str">
        <f t="shared" si="142"/>
        <v>عدد</v>
      </c>
      <c r="G1120" s="3">
        <v>6</v>
      </c>
      <c r="H1120" s="5">
        <v>5700000</v>
      </c>
    </row>
    <row r="1121" spans="1:8" ht="18.75" x14ac:dyDescent="0.2">
      <c r="A1121" s="3" t="str">
        <f t="shared" si="138"/>
        <v>98/11/26</v>
      </c>
      <c r="B1121" s="3" t="str">
        <f t="shared" si="139"/>
        <v>كالاهاي مصرفي</v>
      </c>
      <c r="C1121" s="3" t="str">
        <f>"انبار مركزي ( عمومي )"</f>
        <v>انبار مركزي ( عمومي )</v>
      </c>
      <c r="D1121" s="3" t="str">
        <f>"0304000060"</f>
        <v>0304000060</v>
      </c>
      <c r="E1121" s="3" t="str">
        <f>"شير گازي 1/2 اينچ"</f>
        <v>شير گازي 1/2 اينچ</v>
      </c>
      <c r="F1121" s="3" t="str">
        <f t="shared" si="142"/>
        <v>عدد</v>
      </c>
      <c r="G1121" s="3">
        <v>30</v>
      </c>
      <c r="H1121" s="5">
        <v>5700000</v>
      </c>
    </row>
    <row r="1122" spans="1:8" ht="18.75" x14ac:dyDescent="0.2">
      <c r="A1122" s="3" t="str">
        <f t="shared" si="138"/>
        <v>98/11/26</v>
      </c>
      <c r="B1122" s="3" t="str">
        <f t="shared" si="139"/>
        <v>كالاهاي مصرفي</v>
      </c>
      <c r="C1122" s="3" t="str">
        <f>"انبار مركزي ( عمومي )"</f>
        <v>انبار مركزي ( عمومي )</v>
      </c>
      <c r="D1122" s="3" t="str">
        <f>"0304000061"</f>
        <v>0304000061</v>
      </c>
      <c r="E1122" s="3" t="str">
        <f>"شير گازي 3/4 اينچ"</f>
        <v>شير گازي 3/4 اينچ</v>
      </c>
      <c r="F1122" s="3" t="str">
        <f t="shared" si="142"/>
        <v>عدد</v>
      </c>
      <c r="G1122" s="3">
        <v>15</v>
      </c>
      <c r="H1122" s="5">
        <v>5700000</v>
      </c>
    </row>
    <row r="1123" spans="1:8" ht="18.75" x14ac:dyDescent="0.2">
      <c r="A1123" s="3" t="str">
        <f t="shared" si="138"/>
        <v>98/11/26</v>
      </c>
      <c r="B1123" s="3" t="str">
        <f t="shared" si="139"/>
        <v>كالاهاي مصرفي</v>
      </c>
      <c r="C1123" s="3" t="str">
        <f>"انبار مصرفي ZU1"</f>
        <v>انبار مصرفي ZU1</v>
      </c>
      <c r="D1123" s="3" t="str">
        <f>"0211000354"</f>
        <v>0211000354</v>
      </c>
      <c r="E1123" s="3" t="str">
        <f>"سيم قلع ضخامت 0/5mm"</f>
        <v>سيم قلع ضخامت 0/5mm</v>
      </c>
      <c r="F1123" s="3" t="str">
        <f>"کيلوگرم"</f>
        <v>کيلوگرم</v>
      </c>
      <c r="G1123" s="3">
        <v>2</v>
      </c>
      <c r="H1123" s="5">
        <v>5720000</v>
      </c>
    </row>
    <row r="1124" spans="1:8" ht="18.75" x14ac:dyDescent="0.2">
      <c r="A1124" s="3" t="str">
        <f t="shared" si="138"/>
        <v>98/11/26</v>
      </c>
      <c r="B1124" s="3" t="str">
        <f t="shared" si="139"/>
        <v>كالاهاي مصرفي</v>
      </c>
      <c r="C1124" s="3" t="str">
        <f>"انبار مصرفي ZU1"</f>
        <v>انبار مصرفي ZU1</v>
      </c>
      <c r="D1124" s="3" t="str">
        <f>"0215000003"</f>
        <v>0215000003</v>
      </c>
      <c r="E1124" s="3" t="str">
        <f>"فيلتر گازوييل FS 1006"</f>
        <v>فيلتر گازوييل FS 1006</v>
      </c>
      <c r="F1124" s="3" t="str">
        <f t="shared" ref="F1124:F1130" si="144">"عدد"</f>
        <v>عدد</v>
      </c>
      <c r="G1124" s="3">
        <v>2</v>
      </c>
      <c r="H1124" s="5">
        <v>5720000</v>
      </c>
    </row>
    <row r="1125" spans="1:8" ht="18.75" x14ac:dyDescent="0.2">
      <c r="A1125" s="3" t="str">
        <f t="shared" si="138"/>
        <v>98/11/26</v>
      </c>
      <c r="B1125" s="3" t="str">
        <f t="shared" si="139"/>
        <v>كالاهاي مصرفي</v>
      </c>
      <c r="C1125" s="3" t="str">
        <f>"انبار مركزي ( عمومي )"</f>
        <v>انبار مركزي ( عمومي )</v>
      </c>
      <c r="D1125" s="3" t="str">
        <f>"0211000862"</f>
        <v>0211000862</v>
      </c>
      <c r="E1125" s="3" t="str">
        <f>"كيف ابزار  (برزنتي )"</f>
        <v>كيف ابزار  (برزنتي )</v>
      </c>
      <c r="F1125" s="3" t="str">
        <f t="shared" si="144"/>
        <v>عدد</v>
      </c>
      <c r="G1125" s="3">
        <v>8</v>
      </c>
      <c r="H1125" s="5">
        <v>5720810</v>
      </c>
    </row>
    <row r="1126" spans="1:8" ht="18.75" x14ac:dyDescent="0.2">
      <c r="A1126" s="3" t="str">
        <f t="shared" si="138"/>
        <v>98/11/26</v>
      </c>
      <c r="B1126" s="3" t="str">
        <f t="shared" si="139"/>
        <v>كالاهاي مصرفي</v>
      </c>
      <c r="C1126" s="3" t="str">
        <f>"انبار مصرفي ZU1"</f>
        <v>انبار مصرفي ZU1</v>
      </c>
      <c r="D1126" s="3" t="str">
        <f>"0213000101"</f>
        <v>0213000101</v>
      </c>
      <c r="E1126" s="3" t="str">
        <f>"پيچ استنلس استيل M20*150"</f>
        <v>پيچ استنلس استيل M20*150</v>
      </c>
      <c r="F1126" s="3" t="str">
        <f t="shared" si="144"/>
        <v>عدد</v>
      </c>
      <c r="G1126" s="3">
        <v>50</v>
      </c>
      <c r="H1126" s="5">
        <v>5733000</v>
      </c>
    </row>
    <row r="1127" spans="1:8" ht="18.75" x14ac:dyDescent="0.2">
      <c r="A1127" s="3" t="str">
        <f t="shared" si="138"/>
        <v>98/11/26</v>
      </c>
      <c r="B1127" s="3" t="str">
        <f t="shared" si="139"/>
        <v>كالاهاي مصرفي</v>
      </c>
      <c r="C1127" s="3" t="str">
        <f>"انبار مصرفي ZU1"</f>
        <v>انبار مصرفي ZU1</v>
      </c>
      <c r="D1127" s="3" t="str">
        <f>"0204001675"</f>
        <v>0204001675</v>
      </c>
      <c r="E1127" s="3" t="str">
        <f>"اورينگ HNBR 123*3.5"</f>
        <v>اورينگ HNBR 123*3.5</v>
      </c>
      <c r="F1127" s="3" t="str">
        <f t="shared" si="144"/>
        <v>عدد</v>
      </c>
      <c r="G1127" s="3">
        <v>19</v>
      </c>
      <c r="H1127" s="5">
        <v>5738000</v>
      </c>
    </row>
    <row r="1128" spans="1:8" ht="18.75" x14ac:dyDescent="0.2">
      <c r="A1128" s="3" t="str">
        <f t="shared" si="138"/>
        <v>98/11/26</v>
      </c>
      <c r="B1128" s="3" t="str">
        <f t="shared" si="139"/>
        <v>كالاهاي مصرفي</v>
      </c>
      <c r="C1128" s="3" t="str">
        <f>"انبار مصرفي ZU1"</f>
        <v>انبار مصرفي ZU1</v>
      </c>
      <c r="D1128" s="3" t="str">
        <f>"0204000330"</f>
        <v>0204000330</v>
      </c>
      <c r="E1128" s="3" t="str">
        <f>"تسمه پروانه SPZ-1400"</f>
        <v>تسمه پروانه SPZ-1400</v>
      </c>
      <c r="F1128" s="3" t="str">
        <f t="shared" si="144"/>
        <v>عدد</v>
      </c>
      <c r="G1128" s="3">
        <v>4</v>
      </c>
      <c r="H1128" s="5">
        <v>5760000</v>
      </c>
    </row>
    <row r="1129" spans="1:8" ht="18.75" x14ac:dyDescent="0.2">
      <c r="A1129" s="3" t="str">
        <f t="shared" si="138"/>
        <v>98/11/26</v>
      </c>
      <c r="B1129" s="3" t="str">
        <f t="shared" si="139"/>
        <v>كالاهاي مصرفي</v>
      </c>
      <c r="C1129" s="3" t="str">
        <f>"انبار مصرفي ZU1"</f>
        <v>انبار مصرفي ZU1</v>
      </c>
      <c r="D1129" s="3" t="str">
        <f>"0213000149"</f>
        <v>0213000149</v>
      </c>
      <c r="E1129" s="3" t="str">
        <f>"پيچ M32*80"</f>
        <v>پيچ M32*80</v>
      </c>
      <c r="F1129" s="3" t="str">
        <f t="shared" si="144"/>
        <v>عدد</v>
      </c>
      <c r="G1129" s="3">
        <v>74</v>
      </c>
      <c r="H1129" s="5">
        <v>5780880</v>
      </c>
    </row>
    <row r="1130" spans="1:8" ht="18.75" x14ac:dyDescent="0.2">
      <c r="A1130" s="3" t="str">
        <f t="shared" si="138"/>
        <v>98/11/26</v>
      </c>
      <c r="B1130" s="3" t="str">
        <f t="shared" si="139"/>
        <v>كالاهاي مصرفي</v>
      </c>
      <c r="C1130" s="3" t="str">
        <f>"انبار مصرفي ZU1"</f>
        <v>انبار مصرفي ZU1</v>
      </c>
      <c r="D1130" s="3" t="str">
        <f>"0213000416"</f>
        <v>0213000416</v>
      </c>
      <c r="E1130" s="3" t="str">
        <f>"پيچ يك سر رزوه كربن استيل M20*90"</f>
        <v>پيچ يك سر رزوه كربن استيل M20*90</v>
      </c>
      <c r="F1130" s="3" t="str">
        <f t="shared" si="144"/>
        <v>عدد</v>
      </c>
      <c r="G1130" s="3">
        <v>176</v>
      </c>
      <c r="H1130" s="5">
        <v>5783246</v>
      </c>
    </row>
    <row r="1131" spans="1:8" ht="18.75" x14ac:dyDescent="0.2">
      <c r="A1131" s="3" t="str">
        <f t="shared" si="138"/>
        <v>98/11/26</v>
      </c>
      <c r="B1131" s="3" t="str">
        <f t="shared" si="139"/>
        <v>كالاهاي مصرفي</v>
      </c>
      <c r="C1131" s="3" t="str">
        <f>"انبار مركزي ( عمومي )"</f>
        <v>انبار مركزي ( عمومي )</v>
      </c>
      <c r="D1131" s="3" t="str">
        <f>"0213000818"</f>
        <v>0213000818</v>
      </c>
      <c r="E1131" s="3" t="str">
        <f>"پوساب P120 معمولي"</f>
        <v>پوساب P120 معمولي</v>
      </c>
      <c r="F1131" s="3" t="str">
        <f>"برگ"</f>
        <v>برگ</v>
      </c>
      <c r="G1131" s="3">
        <v>200</v>
      </c>
      <c r="H1131" s="5">
        <v>5800000</v>
      </c>
    </row>
    <row r="1132" spans="1:8" ht="18.75" x14ac:dyDescent="0.2">
      <c r="A1132" s="3" t="str">
        <f t="shared" si="138"/>
        <v>98/11/26</v>
      </c>
      <c r="B1132" s="3" t="str">
        <f t="shared" si="139"/>
        <v>كالاهاي مصرفي</v>
      </c>
      <c r="C1132" s="3" t="str">
        <f>"انبار مصرفي ZU1"</f>
        <v>انبار مصرفي ZU1</v>
      </c>
      <c r="D1132" s="3" t="str">
        <f>"0204000298"</f>
        <v>0204000298</v>
      </c>
      <c r="E1132" s="3" t="str">
        <f>"كاسه نمد  10*100*80"</f>
        <v>كاسه نمد  10*100*80</v>
      </c>
      <c r="F1132" s="3" t="str">
        <f>"عدد"</f>
        <v>عدد</v>
      </c>
      <c r="G1132" s="3">
        <v>27</v>
      </c>
      <c r="H1132" s="5">
        <v>5811429</v>
      </c>
    </row>
    <row r="1133" spans="1:8" ht="18.75" x14ac:dyDescent="0.2">
      <c r="A1133" s="3" t="str">
        <f t="shared" si="138"/>
        <v>98/11/26</v>
      </c>
      <c r="B1133" s="3" t="str">
        <f t="shared" si="139"/>
        <v>كالاهاي مصرفي</v>
      </c>
      <c r="C1133" s="3" t="str">
        <f>"انبار مصرفي ZU1"</f>
        <v>انبار مصرفي ZU1</v>
      </c>
      <c r="D1133" s="3" t="str">
        <f>"0211000036"</f>
        <v>0211000036</v>
      </c>
      <c r="E1133" s="3" t="str">
        <f>"ضربه گير 6 پر"</f>
        <v>ضربه گير 6 پر</v>
      </c>
      <c r="F1133" s="3" t="str">
        <f>"عدد"</f>
        <v>عدد</v>
      </c>
      <c r="G1133" s="3">
        <v>11</v>
      </c>
      <c r="H1133" s="5">
        <v>5830000</v>
      </c>
    </row>
    <row r="1134" spans="1:8" ht="18.75" x14ac:dyDescent="0.2">
      <c r="A1134" s="3" t="str">
        <f t="shared" si="138"/>
        <v>98/11/26</v>
      </c>
      <c r="B1134" s="3" t="str">
        <f t="shared" si="139"/>
        <v>كالاهاي مصرفي</v>
      </c>
      <c r="C1134" s="3" t="str">
        <f>"انبار مصرفي ZU1"</f>
        <v>انبار مصرفي ZU1</v>
      </c>
      <c r="D1134" s="3" t="str">
        <f>"0601000142"</f>
        <v>0601000142</v>
      </c>
      <c r="E1134" s="3" t="str">
        <f>"ماسك جوشكاري"</f>
        <v>ماسك جوشكاري</v>
      </c>
      <c r="F1134" s="3" t="str">
        <f>"عدد"</f>
        <v>عدد</v>
      </c>
      <c r="G1134" s="3">
        <v>27</v>
      </c>
      <c r="H1134" s="5">
        <v>5857707</v>
      </c>
    </row>
    <row r="1135" spans="1:8" ht="18.75" x14ac:dyDescent="0.2">
      <c r="A1135" s="3" t="str">
        <f t="shared" si="138"/>
        <v>98/11/26</v>
      </c>
      <c r="B1135" s="3" t="str">
        <f t="shared" si="139"/>
        <v>كالاهاي مصرفي</v>
      </c>
      <c r="C1135" s="3" t="str">
        <f>"انبار مركزي ( عمومي )"</f>
        <v>انبار مركزي ( عمومي )</v>
      </c>
      <c r="D1135" s="3" t="str">
        <f>"0213000569"</f>
        <v>0213000569</v>
      </c>
      <c r="E1135" s="3" t="str">
        <f>"پوساب P1200 معمولي"</f>
        <v>پوساب P1200 معمولي</v>
      </c>
      <c r="F1135" s="3" t="str">
        <f>"برگ"</f>
        <v>برگ</v>
      </c>
      <c r="G1135" s="3">
        <v>300</v>
      </c>
      <c r="H1135" s="5">
        <v>5875000</v>
      </c>
    </row>
    <row r="1136" spans="1:8" ht="18.75" x14ac:dyDescent="0.2">
      <c r="A1136" s="3" t="str">
        <f t="shared" si="138"/>
        <v>98/11/26</v>
      </c>
      <c r="B1136" s="3" t="str">
        <f t="shared" si="139"/>
        <v>كالاهاي مصرفي</v>
      </c>
      <c r="C1136" s="3" t="str">
        <f>"انبار مصرفي ZU1"</f>
        <v>انبار مصرفي ZU1</v>
      </c>
      <c r="D1136" s="3" t="str">
        <f>"0204000149"</f>
        <v>0204000149</v>
      </c>
      <c r="E1136" s="3" t="str">
        <f>"واشر رزين مستطيلي"</f>
        <v>واشر رزين مستطيلي</v>
      </c>
      <c r="F1136" s="3" t="str">
        <f>"متر"</f>
        <v>متر</v>
      </c>
      <c r="G1136" s="3">
        <v>10</v>
      </c>
      <c r="H1136" s="5">
        <v>5900000</v>
      </c>
    </row>
    <row r="1137" spans="1:8" ht="18.75" x14ac:dyDescent="0.2">
      <c r="A1137" s="3" t="str">
        <f t="shared" si="138"/>
        <v>98/11/26</v>
      </c>
      <c r="B1137" s="3" t="str">
        <f t="shared" si="139"/>
        <v>كالاهاي مصرفي</v>
      </c>
      <c r="C1137" s="3" t="str">
        <f>"انبار مصرفي ZU1"</f>
        <v>انبار مصرفي ZU1</v>
      </c>
      <c r="D1137" s="3" t="str">
        <f>"0203000088"</f>
        <v>0203000088</v>
      </c>
      <c r="E1137" s="3" t="str">
        <f>"آچار الن پايه بلند"</f>
        <v>آچار الن پايه بلند</v>
      </c>
      <c r="F1137" s="3" t="str">
        <f>"دست"</f>
        <v>دست</v>
      </c>
      <c r="G1137" s="3">
        <v>7</v>
      </c>
      <c r="H1137" s="5">
        <v>5903334</v>
      </c>
    </row>
    <row r="1138" spans="1:8" ht="18.75" x14ac:dyDescent="0.2">
      <c r="A1138" s="3" t="str">
        <f t="shared" si="138"/>
        <v>98/11/26</v>
      </c>
      <c r="B1138" s="3" t="str">
        <f t="shared" si="139"/>
        <v>كالاهاي مصرفي</v>
      </c>
      <c r="C1138" s="3" t="str">
        <f>"انبار مصرفي ZU1"</f>
        <v>انبار مصرفي ZU1</v>
      </c>
      <c r="D1138" s="3" t="str">
        <f>"0204001392"</f>
        <v>0204001392</v>
      </c>
      <c r="E1138" s="3" t="str">
        <f>"اورينگ HNBR 126*3"</f>
        <v>اورينگ HNBR 126*3</v>
      </c>
      <c r="F1138" s="3" t="str">
        <f>"عدد"</f>
        <v>عدد</v>
      </c>
      <c r="G1138" s="3">
        <v>17</v>
      </c>
      <c r="H1138" s="5">
        <v>5933000</v>
      </c>
    </row>
    <row r="1139" spans="1:8" ht="18.75" x14ac:dyDescent="0.2">
      <c r="A1139" s="3" t="str">
        <f t="shared" si="138"/>
        <v>98/11/26</v>
      </c>
      <c r="B1139" s="3" t="str">
        <f t="shared" si="139"/>
        <v>كالاهاي مصرفي</v>
      </c>
      <c r="C1139" s="3" t="str">
        <f>"انبار مركزي ( عمومي )"</f>
        <v>انبار مركزي ( عمومي )</v>
      </c>
      <c r="D1139" s="3" t="str">
        <f>"0203000275"</f>
        <v>0203000275</v>
      </c>
      <c r="E1139" s="3" t="str">
        <f>"آچار يكسر رينگ و يكسر تخت 38"</f>
        <v>آچار يكسر رينگ و يكسر تخت 38</v>
      </c>
      <c r="F1139" s="3" t="str">
        <f>"عدد"</f>
        <v>عدد</v>
      </c>
      <c r="G1139" s="3">
        <v>4</v>
      </c>
      <c r="H1139" s="5">
        <v>5940000</v>
      </c>
    </row>
    <row r="1140" spans="1:8" ht="18.75" x14ac:dyDescent="0.2">
      <c r="A1140" s="3" t="str">
        <f t="shared" si="138"/>
        <v>98/11/26</v>
      </c>
      <c r="B1140" s="3" t="str">
        <f t="shared" si="139"/>
        <v>كالاهاي مصرفي</v>
      </c>
      <c r="C1140" s="3" t="str">
        <f t="shared" ref="C1140:C1152" si="145">"انبار مصرفي ZU1"</f>
        <v>انبار مصرفي ZU1</v>
      </c>
      <c r="D1140" s="3" t="str">
        <f>"0204001137"</f>
        <v>0204001137</v>
      </c>
      <c r="E1140" s="3" t="str">
        <f>"صفحات لاستيك آببندي معمولي ضخامت 4 ميليمتر"</f>
        <v>صفحات لاستيك آببندي معمولي ضخامت 4 ميليمتر</v>
      </c>
      <c r="F1140" s="3" t="str">
        <f>"متر مربع"</f>
        <v>متر مربع</v>
      </c>
      <c r="G1140" s="3">
        <v>13</v>
      </c>
      <c r="H1140" s="5">
        <v>5964400</v>
      </c>
    </row>
    <row r="1141" spans="1:8" ht="18.75" x14ac:dyDescent="0.2">
      <c r="A1141" s="3" t="str">
        <f t="shared" si="138"/>
        <v>98/11/26</v>
      </c>
      <c r="B1141" s="3" t="str">
        <f t="shared" si="139"/>
        <v>كالاهاي مصرفي</v>
      </c>
      <c r="C1141" s="3" t="str">
        <f t="shared" si="145"/>
        <v>انبار مصرفي ZU1</v>
      </c>
      <c r="D1141" s="3" t="str">
        <f>"0204001845"</f>
        <v>0204001845</v>
      </c>
      <c r="E1141" s="3" t="str">
        <f>"صفحات لاستيك آببندي مقاوم در مقابل بنزين و روغن ضخامت 6 ميل"</f>
        <v>صفحات لاستيك آببندي مقاوم در مقابل بنزين و روغن ضخامت 6 ميل</v>
      </c>
      <c r="F1141" s="3" t="str">
        <f>"متر مربع"</f>
        <v>متر مربع</v>
      </c>
      <c r="G1141" s="3">
        <v>3</v>
      </c>
      <c r="H1141" s="5">
        <v>5970000</v>
      </c>
    </row>
    <row r="1142" spans="1:8" ht="18.75" x14ac:dyDescent="0.2">
      <c r="A1142" s="3" t="str">
        <f t="shared" si="138"/>
        <v>98/11/26</v>
      </c>
      <c r="B1142" s="3" t="str">
        <f t="shared" si="139"/>
        <v>كالاهاي مصرفي</v>
      </c>
      <c r="C1142" s="3" t="str">
        <f t="shared" si="145"/>
        <v>انبار مصرفي ZU1</v>
      </c>
      <c r="D1142" s="3" t="str">
        <f>"0204000093"</f>
        <v>0204000093</v>
      </c>
      <c r="E1142" s="3" t="str">
        <f>"بيرينگ 2Z/C3-6305"</f>
        <v>بيرينگ 2Z/C3-6305</v>
      </c>
      <c r="F1142" s="3" t="str">
        <f>"عدد"</f>
        <v>عدد</v>
      </c>
      <c r="G1142" s="3">
        <v>25</v>
      </c>
      <c r="H1142" s="5">
        <v>5972221</v>
      </c>
    </row>
    <row r="1143" spans="1:8" ht="18.75" x14ac:dyDescent="0.2">
      <c r="A1143" s="3" t="str">
        <f t="shared" si="138"/>
        <v>98/11/26</v>
      </c>
      <c r="B1143" s="3" t="str">
        <f t="shared" si="139"/>
        <v>كالاهاي مصرفي</v>
      </c>
      <c r="C1143" s="3" t="str">
        <f t="shared" si="145"/>
        <v>انبار مصرفي ZU1</v>
      </c>
      <c r="D1143" s="3" t="str">
        <f>"0204001575"</f>
        <v>0204001575</v>
      </c>
      <c r="E1143" s="3" t="str">
        <f>"بيرينگ  2313"</f>
        <v>بيرينگ  2313</v>
      </c>
      <c r="F1143" s="3" t="str">
        <f>"عدد"</f>
        <v>عدد</v>
      </c>
      <c r="G1143" s="3">
        <v>2</v>
      </c>
      <c r="H1143" s="5">
        <v>5980000</v>
      </c>
    </row>
    <row r="1144" spans="1:8" ht="18.75" x14ac:dyDescent="0.2">
      <c r="A1144" s="3" t="str">
        <f t="shared" si="138"/>
        <v>98/11/26</v>
      </c>
      <c r="B1144" s="3" t="str">
        <f t="shared" si="139"/>
        <v>كالاهاي مصرفي</v>
      </c>
      <c r="C1144" s="3" t="str">
        <f t="shared" si="145"/>
        <v>انبار مصرفي ZU1</v>
      </c>
      <c r="D1144" s="3" t="str">
        <f>"0204001760"</f>
        <v>0204001760</v>
      </c>
      <c r="E1144" s="3" t="str">
        <f>"اورينگ وايتون ضخامت 3.5 ميليمتر"</f>
        <v>اورينگ وايتون ضخامت 3.5 ميليمتر</v>
      </c>
      <c r="F1144" s="3" t="str">
        <f>"متر"</f>
        <v>متر</v>
      </c>
      <c r="G1144" s="3">
        <v>20</v>
      </c>
      <c r="H1144" s="5">
        <v>5980000</v>
      </c>
    </row>
    <row r="1145" spans="1:8" ht="18.75" x14ac:dyDescent="0.2">
      <c r="A1145" s="3" t="str">
        <f t="shared" si="138"/>
        <v>98/11/26</v>
      </c>
      <c r="B1145" s="3" t="str">
        <f t="shared" si="139"/>
        <v>كالاهاي مصرفي</v>
      </c>
      <c r="C1145" s="3" t="str">
        <f t="shared" si="145"/>
        <v>انبار مصرفي ZU1</v>
      </c>
      <c r="D1145" s="3" t="str">
        <f>"0204001878"</f>
        <v>0204001878</v>
      </c>
      <c r="E1145" s="3" t="str">
        <f>"كاسه نمد Mild Steel 55*80*4 AIA"</f>
        <v>كاسه نمد Mild Steel 55*80*4 AIA</v>
      </c>
      <c r="F1145" s="3" t="str">
        <f>"عدد"</f>
        <v>عدد</v>
      </c>
      <c r="G1145" s="3">
        <v>15</v>
      </c>
      <c r="H1145" s="5">
        <v>5985000</v>
      </c>
    </row>
    <row r="1146" spans="1:8" ht="18.75" x14ac:dyDescent="0.2">
      <c r="A1146" s="3" t="str">
        <f t="shared" si="138"/>
        <v>98/11/26</v>
      </c>
      <c r="B1146" s="3" t="str">
        <f t="shared" si="139"/>
        <v>كالاهاي مصرفي</v>
      </c>
      <c r="C1146" s="3" t="str">
        <f t="shared" si="145"/>
        <v>انبار مصرفي ZU1</v>
      </c>
      <c r="D1146" s="3" t="str">
        <f>"0203000089"</f>
        <v>0203000089</v>
      </c>
      <c r="E1146" s="3" t="str">
        <f>"آچار الن پايه كوتاه"</f>
        <v>آچار الن پايه كوتاه</v>
      </c>
      <c r="F1146" s="3" t="str">
        <f>"دست"</f>
        <v>دست</v>
      </c>
      <c r="G1146" s="3">
        <v>10</v>
      </c>
      <c r="H1146" s="5">
        <v>5988272</v>
      </c>
    </row>
    <row r="1147" spans="1:8" ht="18.75" x14ac:dyDescent="0.2">
      <c r="A1147" s="3" t="str">
        <f t="shared" si="138"/>
        <v>98/11/26</v>
      </c>
      <c r="B1147" s="3" t="str">
        <f t="shared" si="139"/>
        <v>كالاهاي مصرفي</v>
      </c>
      <c r="C1147" s="3" t="str">
        <f t="shared" si="145"/>
        <v>انبار مصرفي ZU1</v>
      </c>
      <c r="D1147" s="3" t="str">
        <f>"0204000605"</f>
        <v>0204000605</v>
      </c>
      <c r="E1147" s="3" t="str">
        <f>"بيرينگ 6217/C3"</f>
        <v>بيرينگ 6217/C3</v>
      </c>
      <c r="F1147" s="3" t="str">
        <f t="shared" ref="F1147:F1152" si="146">"عدد"</f>
        <v>عدد</v>
      </c>
      <c r="G1147" s="3">
        <v>1</v>
      </c>
      <c r="H1147" s="5">
        <v>6000000</v>
      </c>
    </row>
    <row r="1148" spans="1:8" ht="18.75" x14ac:dyDescent="0.2">
      <c r="A1148" s="3" t="str">
        <f t="shared" si="138"/>
        <v>98/11/26</v>
      </c>
      <c r="B1148" s="3" t="str">
        <f t="shared" si="139"/>
        <v>كالاهاي مصرفي</v>
      </c>
      <c r="C1148" s="3" t="str">
        <f t="shared" si="145"/>
        <v>انبار مصرفي ZU1</v>
      </c>
      <c r="D1148" s="3" t="str">
        <f>"0204000797"</f>
        <v>0204000797</v>
      </c>
      <c r="E1148" s="3" t="str">
        <f>"بيرينگ 51113"</f>
        <v>بيرينگ 51113</v>
      </c>
      <c r="F1148" s="3" t="str">
        <f t="shared" si="146"/>
        <v>عدد</v>
      </c>
      <c r="G1148" s="3">
        <v>15</v>
      </c>
      <c r="H1148" s="5">
        <v>6000000</v>
      </c>
    </row>
    <row r="1149" spans="1:8" ht="18.75" x14ac:dyDescent="0.2">
      <c r="A1149" s="3" t="str">
        <f t="shared" si="138"/>
        <v>98/11/26</v>
      </c>
      <c r="B1149" s="3" t="str">
        <f t="shared" si="139"/>
        <v>كالاهاي مصرفي</v>
      </c>
      <c r="C1149" s="3" t="str">
        <f t="shared" si="145"/>
        <v>انبار مصرفي ZU1</v>
      </c>
      <c r="D1149" s="3" t="str">
        <f>"0204001429"</f>
        <v>0204001429</v>
      </c>
      <c r="E1149" s="3" t="str">
        <f>"واشر اسپيرال تيپ A سايز 4/5*595*630"</f>
        <v>واشر اسپيرال تيپ A سايز 4/5*595*630</v>
      </c>
      <c r="F1149" s="3" t="str">
        <f t="shared" si="146"/>
        <v>عدد</v>
      </c>
      <c r="G1149" s="3">
        <v>4</v>
      </c>
      <c r="H1149" s="5">
        <v>6000000</v>
      </c>
    </row>
    <row r="1150" spans="1:8" ht="18.75" x14ac:dyDescent="0.2">
      <c r="A1150" s="3" t="str">
        <f t="shared" si="138"/>
        <v>98/11/26</v>
      </c>
      <c r="B1150" s="3" t="str">
        <f t="shared" si="139"/>
        <v>كالاهاي مصرفي</v>
      </c>
      <c r="C1150" s="3" t="str">
        <f t="shared" si="145"/>
        <v>انبار مصرفي ZU1</v>
      </c>
      <c r="D1150" s="3" t="str">
        <f>"0204002166"</f>
        <v>0204002166</v>
      </c>
      <c r="E1150" s="3" t="str">
        <f>"اورينگ NBR453.5 *5"</f>
        <v>اورينگ NBR453.5 *5</v>
      </c>
      <c r="F1150" s="3" t="str">
        <f t="shared" si="146"/>
        <v>عدد</v>
      </c>
      <c r="G1150" s="3">
        <v>12</v>
      </c>
      <c r="H1150" s="5">
        <v>6000000</v>
      </c>
    </row>
    <row r="1151" spans="1:8" ht="18.75" x14ac:dyDescent="0.2">
      <c r="A1151" s="3" t="str">
        <f t="shared" si="138"/>
        <v>98/11/26</v>
      </c>
      <c r="B1151" s="3" t="str">
        <f t="shared" si="139"/>
        <v>كالاهاي مصرفي</v>
      </c>
      <c r="C1151" s="3" t="str">
        <f t="shared" si="145"/>
        <v>انبار مصرفي ZU1</v>
      </c>
      <c r="D1151" s="3" t="str">
        <f>"0204002402"</f>
        <v>0204002402</v>
      </c>
      <c r="E1151" s="3" t="str">
        <f>"رول برينگ  30306 J2/Q"</f>
        <v>رول برينگ  30306 J2/Q</v>
      </c>
      <c r="F1151" s="3" t="str">
        <f t="shared" si="146"/>
        <v>عدد</v>
      </c>
      <c r="G1151" s="3">
        <v>6</v>
      </c>
      <c r="H1151" s="5">
        <v>6000000</v>
      </c>
    </row>
    <row r="1152" spans="1:8" ht="18.75" x14ac:dyDescent="0.2">
      <c r="A1152" s="3" t="str">
        <f t="shared" si="138"/>
        <v>98/11/26</v>
      </c>
      <c r="B1152" s="3" t="str">
        <f t="shared" si="139"/>
        <v>كالاهاي مصرفي</v>
      </c>
      <c r="C1152" s="3" t="str">
        <f t="shared" si="145"/>
        <v>انبار مصرفي ZU1</v>
      </c>
      <c r="D1152" s="3" t="str">
        <f>"0213000135"</f>
        <v>0213000135</v>
      </c>
      <c r="E1152" s="3" t="str">
        <f>"واشر قفلي M40"</f>
        <v>واشر قفلي M40</v>
      </c>
      <c r="F1152" s="3" t="str">
        <f t="shared" si="146"/>
        <v>عدد</v>
      </c>
      <c r="G1152" s="3">
        <v>40</v>
      </c>
      <c r="H1152" s="5">
        <v>6000000</v>
      </c>
    </row>
    <row r="1153" spans="1:8" ht="18.75" x14ac:dyDescent="0.2">
      <c r="A1153" s="3" t="str">
        <f t="shared" si="138"/>
        <v>98/11/26</v>
      </c>
      <c r="B1153" s="3" t="str">
        <f t="shared" si="139"/>
        <v>كالاهاي مصرفي</v>
      </c>
      <c r="C1153" s="3" t="str">
        <f>"انبار مركزي ( عمومي )"</f>
        <v>انبار مركزي ( عمومي )</v>
      </c>
      <c r="D1153" s="3" t="str">
        <f>"0213001031"</f>
        <v>0213001031</v>
      </c>
      <c r="E1153" s="3" t="str">
        <f>"پوساب برچسب دار P220"</f>
        <v>پوساب برچسب دار P220</v>
      </c>
      <c r="F1153" s="3" t="str">
        <f>"برگ"</f>
        <v>برگ</v>
      </c>
      <c r="G1153" s="3">
        <v>80</v>
      </c>
      <c r="H1153" s="5">
        <v>6000000</v>
      </c>
    </row>
    <row r="1154" spans="1:8" ht="18.75" x14ac:dyDescent="0.2">
      <c r="A1154" s="3" t="str">
        <f t="shared" ref="A1154:A1217" si="147">"98/11/26"</f>
        <v>98/11/26</v>
      </c>
      <c r="B1154" s="3" t="str">
        <f t="shared" ref="B1154:B1217" si="148">"كالاهاي مصرفي"</f>
        <v>كالاهاي مصرفي</v>
      </c>
      <c r="C1154" s="3" t="str">
        <f>"انبار مصرفي ZU1"</f>
        <v>انبار مصرفي ZU1</v>
      </c>
      <c r="D1154" s="3" t="str">
        <f>"0304000059"</f>
        <v>0304000059</v>
      </c>
      <c r="E1154" s="3" t="str">
        <f>"شير گازي 1 اينچ"</f>
        <v>شير گازي 1 اينچ</v>
      </c>
      <c r="F1154" s="3" t="str">
        <f>"عدد"</f>
        <v>عدد</v>
      </c>
      <c r="G1154" s="3">
        <v>2</v>
      </c>
      <c r="H1154" s="5">
        <v>6000000</v>
      </c>
    </row>
    <row r="1155" spans="1:8" ht="18.75" x14ac:dyDescent="0.2">
      <c r="A1155" s="3" t="str">
        <f t="shared" si="147"/>
        <v>98/11/26</v>
      </c>
      <c r="B1155" s="3" t="str">
        <f t="shared" si="148"/>
        <v>كالاهاي مصرفي</v>
      </c>
      <c r="C1155" s="3" t="str">
        <f>"انبار مصرفي ZU1"</f>
        <v>انبار مصرفي ZU1</v>
      </c>
      <c r="D1155" s="3" t="str">
        <f>"0204001219"</f>
        <v>0204001219</v>
      </c>
      <c r="E1155" s="3" t="str">
        <f>"بوش H-2313"</f>
        <v>بوش H-2313</v>
      </c>
      <c r="F1155" s="3" t="str">
        <f>"عدد"</f>
        <v>عدد</v>
      </c>
      <c r="G1155" s="3">
        <v>7</v>
      </c>
      <c r="H1155" s="5">
        <v>6020000</v>
      </c>
    </row>
    <row r="1156" spans="1:8" ht="18.75" x14ac:dyDescent="0.2">
      <c r="A1156" s="3" t="str">
        <f t="shared" si="147"/>
        <v>98/11/26</v>
      </c>
      <c r="B1156" s="3" t="str">
        <f t="shared" si="148"/>
        <v>كالاهاي مصرفي</v>
      </c>
      <c r="C1156" s="3" t="str">
        <f>"انبار مصرفي ZU1"</f>
        <v>انبار مصرفي ZU1</v>
      </c>
      <c r="D1156" s="3" t="str">
        <f>"0204000345"</f>
        <v>0204000345</v>
      </c>
      <c r="E1156" s="3" t="str">
        <f>"بيرينگ 2Z/C3-6308"</f>
        <v>بيرينگ 2Z/C3-6308</v>
      </c>
      <c r="F1156" s="3" t="str">
        <f>"عدد"</f>
        <v>عدد</v>
      </c>
      <c r="G1156" s="3">
        <v>13</v>
      </c>
      <c r="H1156" s="5">
        <v>6027220</v>
      </c>
    </row>
    <row r="1157" spans="1:8" ht="18.75" x14ac:dyDescent="0.2">
      <c r="A1157" s="3" t="str">
        <f t="shared" si="147"/>
        <v>98/11/26</v>
      </c>
      <c r="B1157" s="3" t="str">
        <f t="shared" si="148"/>
        <v>كالاهاي مصرفي</v>
      </c>
      <c r="C1157" s="3" t="str">
        <f>"انبار مصرفي ZU1"</f>
        <v>انبار مصرفي ZU1</v>
      </c>
      <c r="D1157" s="3" t="str">
        <f>"0102000149"</f>
        <v>0102000149</v>
      </c>
      <c r="E1157" s="3" t="str">
        <f>"رويه اپوكسي پلي آمين با هاردنر رال 7035"</f>
        <v>رويه اپوكسي پلي آمين با هاردنر رال 7035</v>
      </c>
      <c r="F1157" s="3" t="str">
        <f>"کيلوگرم"</f>
        <v>کيلوگرم</v>
      </c>
      <c r="G1157" s="3">
        <v>16</v>
      </c>
      <c r="H1157" s="5">
        <v>6080000</v>
      </c>
    </row>
    <row r="1158" spans="1:8" ht="18.75" x14ac:dyDescent="0.2">
      <c r="A1158" s="3" t="str">
        <f t="shared" si="147"/>
        <v>98/11/26</v>
      </c>
      <c r="B1158" s="3" t="str">
        <f t="shared" si="148"/>
        <v>كالاهاي مصرفي</v>
      </c>
      <c r="C1158" s="3" t="str">
        <f>"انبار مركزي ( عمومي )"</f>
        <v>انبار مركزي ( عمومي )</v>
      </c>
      <c r="D1158" s="3" t="str">
        <f>"0213000606"</f>
        <v>0213000606</v>
      </c>
      <c r="E1158" s="3" t="str">
        <f>"پوساب P1000 معمولي"</f>
        <v>پوساب P1000 معمولي</v>
      </c>
      <c r="F1158" s="3" t="str">
        <f>"برگ"</f>
        <v>برگ</v>
      </c>
      <c r="G1158" s="3">
        <v>195</v>
      </c>
      <c r="H1158" s="5">
        <v>6093750</v>
      </c>
    </row>
    <row r="1159" spans="1:8" ht="18.75" x14ac:dyDescent="0.2">
      <c r="A1159" s="3" t="str">
        <f t="shared" si="147"/>
        <v>98/11/26</v>
      </c>
      <c r="B1159" s="3" t="str">
        <f t="shared" si="148"/>
        <v>كالاهاي مصرفي</v>
      </c>
      <c r="C1159" s="3" t="str">
        <f>"انبار مركزي ( عمومي )"</f>
        <v>انبار مركزي ( عمومي )</v>
      </c>
      <c r="D1159" s="3" t="str">
        <f>"0213000293"</f>
        <v>0213000293</v>
      </c>
      <c r="E1159" s="3" t="str">
        <f>"مته الماسه پنج شياره نمره 20"</f>
        <v>مته الماسه پنج شياره نمره 20</v>
      </c>
      <c r="F1159" s="3" t="str">
        <f>"عدد"</f>
        <v>عدد</v>
      </c>
      <c r="G1159" s="3">
        <v>1</v>
      </c>
      <c r="H1159" s="5">
        <v>6133333</v>
      </c>
    </row>
    <row r="1160" spans="1:8" ht="18.75" x14ac:dyDescent="0.2">
      <c r="A1160" s="3" t="str">
        <f t="shared" si="147"/>
        <v>98/11/26</v>
      </c>
      <c r="B1160" s="3" t="str">
        <f t="shared" si="148"/>
        <v>كالاهاي مصرفي</v>
      </c>
      <c r="C1160" s="3" t="str">
        <f>"انبار مصرفي ZU1"</f>
        <v>انبار مصرفي ZU1</v>
      </c>
      <c r="D1160" s="3" t="str">
        <f>"0204000571"</f>
        <v>0204000571</v>
      </c>
      <c r="E1160" s="3" t="str">
        <f>"بيرينگ 2Z/C3-6301"</f>
        <v>بيرينگ 2Z/C3-6301</v>
      </c>
      <c r="F1160" s="3" t="str">
        <f>"عدد"</f>
        <v>عدد</v>
      </c>
      <c r="G1160" s="3">
        <v>44</v>
      </c>
      <c r="H1160" s="5">
        <v>6160000</v>
      </c>
    </row>
    <row r="1161" spans="1:8" ht="18.75" x14ac:dyDescent="0.2">
      <c r="A1161" s="3" t="str">
        <f t="shared" si="147"/>
        <v>98/11/26</v>
      </c>
      <c r="B1161" s="3" t="str">
        <f t="shared" si="148"/>
        <v>كالاهاي مصرفي</v>
      </c>
      <c r="C1161" s="3" t="str">
        <f>"انبار مصرفي ZU1"</f>
        <v>انبار مصرفي ZU1</v>
      </c>
      <c r="D1161" s="3" t="str">
        <f>"0204000614"</f>
        <v>0204000614</v>
      </c>
      <c r="E1161" s="3" t="str">
        <f>"بيرينگ 6212-C4"</f>
        <v>بيرينگ 6212-C4</v>
      </c>
      <c r="F1161" s="3" t="str">
        <f>"عدد"</f>
        <v>عدد</v>
      </c>
      <c r="G1161" s="3">
        <v>4</v>
      </c>
      <c r="H1161" s="5">
        <v>6200000</v>
      </c>
    </row>
    <row r="1162" spans="1:8" ht="18.75" x14ac:dyDescent="0.2">
      <c r="A1162" s="3" t="str">
        <f t="shared" si="147"/>
        <v>98/11/26</v>
      </c>
      <c r="B1162" s="3" t="str">
        <f t="shared" si="148"/>
        <v>كالاهاي مصرفي</v>
      </c>
      <c r="C1162" s="3" t="str">
        <f>"انبار مصرفي ZU1"</f>
        <v>انبار مصرفي ZU1</v>
      </c>
      <c r="D1162" s="3" t="str">
        <f>"0213000130"</f>
        <v>0213000130</v>
      </c>
      <c r="E1162" s="3" t="str">
        <f>"واشر قفلي M28"</f>
        <v>واشر قفلي M28</v>
      </c>
      <c r="F1162" s="3" t="str">
        <f>"عدد"</f>
        <v>عدد</v>
      </c>
      <c r="G1162" s="3">
        <v>450</v>
      </c>
      <c r="H1162" s="5">
        <v>6210000</v>
      </c>
    </row>
    <row r="1163" spans="1:8" ht="18.75" x14ac:dyDescent="0.2">
      <c r="A1163" s="3" t="str">
        <f t="shared" si="147"/>
        <v>98/11/26</v>
      </c>
      <c r="B1163" s="3" t="str">
        <f t="shared" si="148"/>
        <v>كالاهاي مصرفي</v>
      </c>
      <c r="C1163" s="3" t="str">
        <f>"انبار مصرفي ZU1"</f>
        <v>انبار مصرفي ZU1</v>
      </c>
      <c r="D1163" s="3" t="str">
        <f>"0207000045"</f>
        <v>0207000045</v>
      </c>
      <c r="E1163" s="3" t="str">
        <f>"شيلنگ برزنتي1.5 اينچ"</f>
        <v>شيلنگ برزنتي1.5 اينچ</v>
      </c>
      <c r="F1163" s="3" t="str">
        <f>"متر"</f>
        <v>متر</v>
      </c>
      <c r="G1163" s="3">
        <v>74</v>
      </c>
      <c r="H1163" s="5">
        <v>6216000</v>
      </c>
    </row>
    <row r="1164" spans="1:8" ht="18.75" x14ac:dyDescent="0.2">
      <c r="A1164" s="3" t="str">
        <f t="shared" si="147"/>
        <v>98/11/26</v>
      </c>
      <c r="B1164" s="3" t="str">
        <f t="shared" si="148"/>
        <v>كالاهاي مصرفي</v>
      </c>
      <c r="C1164" s="3" t="str">
        <f>"انبار مركزي ( عمومي )"</f>
        <v>انبار مركزي ( عمومي )</v>
      </c>
      <c r="D1164" s="3" t="str">
        <f>"0213000274"</f>
        <v>0213000274</v>
      </c>
      <c r="E1164" s="3" t="str">
        <f>"مته الماسه چهار شياره نمره  6"</f>
        <v>مته الماسه چهار شياره نمره  6</v>
      </c>
      <c r="F1164" s="3" t="str">
        <f>"عدد"</f>
        <v>عدد</v>
      </c>
      <c r="G1164" s="3">
        <v>52</v>
      </c>
      <c r="H1164" s="5">
        <v>6237425</v>
      </c>
    </row>
    <row r="1165" spans="1:8" ht="18.75" x14ac:dyDescent="0.2">
      <c r="A1165" s="3" t="str">
        <f t="shared" si="147"/>
        <v>98/11/26</v>
      </c>
      <c r="B1165" s="3" t="str">
        <f t="shared" si="148"/>
        <v>كالاهاي مصرفي</v>
      </c>
      <c r="C1165" s="3" t="str">
        <f>"انبار مركزي ( عمومي )"</f>
        <v>انبار مركزي ( عمومي )</v>
      </c>
      <c r="D1165" s="3" t="str">
        <f>"0203000276"</f>
        <v>0203000276</v>
      </c>
      <c r="E1165" s="3" t="str">
        <f>"آچار يكسر رينگ و يكسر تخت 40"</f>
        <v>آچار يكسر رينگ و يكسر تخت 40</v>
      </c>
      <c r="F1165" s="3" t="str">
        <f>"عدد"</f>
        <v>عدد</v>
      </c>
      <c r="G1165" s="3">
        <v>4</v>
      </c>
      <c r="H1165" s="5">
        <v>6240000</v>
      </c>
    </row>
    <row r="1166" spans="1:8" ht="18.75" x14ac:dyDescent="0.2">
      <c r="A1166" s="3" t="str">
        <f t="shared" si="147"/>
        <v>98/11/26</v>
      </c>
      <c r="B1166" s="3" t="str">
        <f t="shared" si="148"/>
        <v>كالاهاي مصرفي</v>
      </c>
      <c r="C1166" s="3" t="str">
        <f>"انبار مركزي ( عمومي )"</f>
        <v>انبار مركزي ( عمومي )</v>
      </c>
      <c r="D1166" s="3" t="str">
        <f>"0203000093"</f>
        <v>0203000093</v>
      </c>
      <c r="E1166" s="3" t="str">
        <f>"انبر سيم لخت كن"</f>
        <v>انبر سيم لخت كن</v>
      </c>
      <c r="F1166" s="3" t="str">
        <f>"عدد"</f>
        <v>عدد</v>
      </c>
      <c r="G1166" s="3">
        <v>5</v>
      </c>
      <c r="H1166" s="5">
        <v>6250000</v>
      </c>
    </row>
    <row r="1167" spans="1:8" ht="18.75" x14ac:dyDescent="0.2">
      <c r="A1167" s="3" t="str">
        <f t="shared" si="147"/>
        <v>98/11/26</v>
      </c>
      <c r="B1167" s="3" t="str">
        <f t="shared" si="148"/>
        <v>كالاهاي مصرفي</v>
      </c>
      <c r="C1167" s="3" t="str">
        <f t="shared" ref="C1167:C1172" si="149">"انبار مصرفي ZU1"</f>
        <v>انبار مصرفي ZU1</v>
      </c>
      <c r="D1167" s="3" t="str">
        <f>"0204000248"</f>
        <v>0204000248</v>
      </c>
      <c r="E1167" s="3" t="str">
        <f>"پكينگ آبندي فشاري 10* 10  نخ گرافيت كنف دار"</f>
        <v>پكينگ آبندي فشاري 10* 10  نخ گرافيت كنف دار</v>
      </c>
      <c r="F1167" s="3" t="str">
        <f>"کيلوگرم"</f>
        <v>کيلوگرم</v>
      </c>
      <c r="G1167" s="3">
        <v>25</v>
      </c>
      <c r="H1167" s="5">
        <v>6250000</v>
      </c>
    </row>
    <row r="1168" spans="1:8" ht="18.75" x14ac:dyDescent="0.2">
      <c r="A1168" s="3" t="str">
        <f t="shared" si="147"/>
        <v>98/11/26</v>
      </c>
      <c r="B1168" s="3" t="str">
        <f t="shared" si="148"/>
        <v>كالاهاي مصرفي</v>
      </c>
      <c r="C1168" s="3" t="str">
        <f t="shared" si="149"/>
        <v>انبار مصرفي ZU1</v>
      </c>
      <c r="D1168" s="3" t="str">
        <f>"0204000384"</f>
        <v>0204000384</v>
      </c>
      <c r="E1168" s="3" t="str">
        <f>"بيرينگ3307-A"</f>
        <v>بيرينگ3307-A</v>
      </c>
      <c r="F1168" s="3" t="str">
        <f t="shared" ref="F1168:F1176" si="150">"عدد"</f>
        <v>عدد</v>
      </c>
      <c r="G1168" s="3">
        <v>6</v>
      </c>
      <c r="H1168" s="5">
        <v>6276136</v>
      </c>
    </row>
    <row r="1169" spans="1:8" ht="18.75" x14ac:dyDescent="0.2">
      <c r="A1169" s="3" t="str">
        <f t="shared" si="147"/>
        <v>98/11/26</v>
      </c>
      <c r="B1169" s="3" t="str">
        <f t="shared" si="148"/>
        <v>كالاهاي مصرفي</v>
      </c>
      <c r="C1169" s="3" t="str">
        <f t="shared" si="149"/>
        <v>انبار مصرفي ZU1</v>
      </c>
      <c r="D1169" s="3" t="str">
        <f>"0103000328"</f>
        <v>0103000328</v>
      </c>
      <c r="E1169" s="3" t="str">
        <f>"سيليكاژل بيرنگ گرانول 10 كيلويي"</f>
        <v>سيليكاژل بيرنگ گرانول 10 كيلويي</v>
      </c>
      <c r="F1169" s="3" t="str">
        <f t="shared" si="150"/>
        <v>عدد</v>
      </c>
      <c r="G1169" s="3">
        <v>3.5</v>
      </c>
      <c r="H1169" s="5">
        <v>6300000</v>
      </c>
    </row>
    <row r="1170" spans="1:8" ht="18.75" x14ac:dyDescent="0.2">
      <c r="A1170" s="3" t="str">
        <f t="shared" si="147"/>
        <v>98/11/26</v>
      </c>
      <c r="B1170" s="3" t="str">
        <f t="shared" si="148"/>
        <v>كالاهاي مصرفي</v>
      </c>
      <c r="C1170" s="3" t="str">
        <f t="shared" si="149"/>
        <v>انبار مصرفي ZU1</v>
      </c>
      <c r="D1170" s="3" t="str">
        <f>"0204001494"</f>
        <v>0204001494</v>
      </c>
      <c r="E1170" s="3" t="str">
        <f>"واشر اسپيرال تيپ A سايز 4.5*200*210"</f>
        <v>واشر اسپيرال تيپ A سايز 4.5*200*210</v>
      </c>
      <c r="F1170" s="3" t="str">
        <f t="shared" si="150"/>
        <v>عدد</v>
      </c>
      <c r="G1170" s="3">
        <v>15</v>
      </c>
      <c r="H1170" s="5">
        <v>6300000</v>
      </c>
    </row>
    <row r="1171" spans="1:8" ht="18.75" x14ac:dyDescent="0.2">
      <c r="A1171" s="3" t="str">
        <f t="shared" si="147"/>
        <v>98/11/26</v>
      </c>
      <c r="B1171" s="3" t="str">
        <f t="shared" si="148"/>
        <v>كالاهاي مصرفي</v>
      </c>
      <c r="C1171" s="3" t="str">
        <f t="shared" si="149"/>
        <v>انبار مصرفي ZU1</v>
      </c>
      <c r="D1171" s="3" t="str">
        <f>"0204002171"</f>
        <v>0204002171</v>
      </c>
      <c r="E1171" s="3" t="str">
        <f>"اورينگ NBR91*5"</f>
        <v>اورينگ NBR91*5</v>
      </c>
      <c r="F1171" s="3" t="str">
        <f t="shared" si="150"/>
        <v>عدد</v>
      </c>
      <c r="G1171" s="3">
        <v>18</v>
      </c>
      <c r="H1171" s="5">
        <v>6300000</v>
      </c>
    </row>
    <row r="1172" spans="1:8" ht="18.75" x14ac:dyDescent="0.2">
      <c r="A1172" s="3" t="str">
        <f t="shared" si="147"/>
        <v>98/11/26</v>
      </c>
      <c r="B1172" s="3" t="str">
        <f t="shared" si="148"/>
        <v>كالاهاي مصرفي</v>
      </c>
      <c r="C1172" s="3" t="str">
        <f t="shared" si="149"/>
        <v>انبار مصرفي ZU1</v>
      </c>
      <c r="D1172" s="3" t="str">
        <f>"0206000353"</f>
        <v>0206000353</v>
      </c>
      <c r="E1172" s="3" t="str">
        <f>"ضربه گير لاستيکي کوپلينگ N-EUPEX225"</f>
        <v>ضربه گير لاستيکي کوپلينگ N-EUPEX225</v>
      </c>
      <c r="F1172" s="3" t="str">
        <f t="shared" si="150"/>
        <v>عدد</v>
      </c>
      <c r="G1172" s="3">
        <v>8</v>
      </c>
      <c r="H1172" s="5">
        <v>6400000</v>
      </c>
    </row>
    <row r="1173" spans="1:8" ht="18.75" x14ac:dyDescent="0.2">
      <c r="A1173" s="3" t="str">
        <f t="shared" si="147"/>
        <v>98/11/26</v>
      </c>
      <c r="B1173" s="3" t="str">
        <f t="shared" si="148"/>
        <v>كالاهاي مصرفي</v>
      </c>
      <c r="C1173" s="3" t="str">
        <f>"انبار مركزي ( عمومي )"</f>
        <v>انبار مركزي ( عمومي )</v>
      </c>
      <c r="D1173" s="3" t="str">
        <f>"0211000999"</f>
        <v>0211000999</v>
      </c>
      <c r="E1173" s="3" t="str">
        <f>"فيوز شيشه اي"</f>
        <v>فيوز شيشه اي</v>
      </c>
      <c r="F1173" s="3" t="str">
        <f t="shared" si="150"/>
        <v>عدد</v>
      </c>
      <c r="G1173" s="3">
        <v>800</v>
      </c>
      <c r="H1173" s="5">
        <v>6400000</v>
      </c>
    </row>
    <row r="1174" spans="1:8" ht="18.75" x14ac:dyDescent="0.2">
      <c r="A1174" s="3" t="str">
        <f t="shared" si="147"/>
        <v>98/11/26</v>
      </c>
      <c r="B1174" s="3" t="str">
        <f t="shared" si="148"/>
        <v>كالاهاي مصرفي</v>
      </c>
      <c r="C1174" s="3" t="str">
        <f>"انبار مصرفي ZU1"</f>
        <v>انبار مصرفي ZU1</v>
      </c>
      <c r="D1174" s="3" t="str">
        <f>"0215000168"</f>
        <v>0215000168</v>
      </c>
      <c r="E1174" s="3" t="str">
        <f>"فيلتر هواي كمپرسور TM"</f>
        <v>فيلتر هواي كمپرسور TM</v>
      </c>
      <c r="F1174" s="3" t="str">
        <f t="shared" si="150"/>
        <v>عدد</v>
      </c>
      <c r="G1174" s="3">
        <v>8</v>
      </c>
      <c r="H1174" s="5">
        <v>6400000</v>
      </c>
    </row>
    <row r="1175" spans="1:8" ht="18.75" x14ac:dyDescent="0.2">
      <c r="A1175" s="3" t="str">
        <f t="shared" si="147"/>
        <v>98/11/26</v>
      </c>
      <c r="B1175" s="3" t="str">
        <f t="shared" si="148"/>
        <v>كالاهاي مصرفي</v>
      </c>
      <c r="C1175" s="3" t="str">
        <f>"انبار مصرفي ZU1"</f>
        <v>انبار مصرفي ZU1</v>
      </c>
      <c r="D1175" s="3" t="str">
        <f>"0213000074"</f>
        <v>0213000074</v>
      </c>
      <c r="E1175" s="3" t="str">
        <f>"كاسه برس معمولي"</f>
        <v>كاسه برس معمولي</v>
      </c>
      <c r="F1175" s="3" t="str">
        <f t="shared" si="150"/>
        <v>عدد</v>
      </c>
      <c r="G1175" s="3">
        <v>169</v>
      </c>
      <c r="H1175" s="5">
        <v>6422000</v>
      </c>
    </row>
    <row r="1176" spans="1:8" ht="18.75" x14ac:dyDescent="0.2">
      <c r="A1176" s="3" t="str">
        <f t="shared" si="147"/>
        <v>98/11/26</v>
      </c>
      <c r="B1176" s="3" t="str">
        <f t="shared" si="148"/>
        <v>كالاهاي مصرفي</v>
      </c>
      <c r="C1176" s="3" t="str">
        <f>"انبار مركزي ( عمومي )"</f>
        <v>انبار مركزي ( عمومي )</v>
      </c>
      <c r="D1176" s="3" t="str">
        <f>"0205000034"</f>
        <v>0205000034</v>
      </c>
      <c r="E1176" s="3" t="str">
        <f>"دستگيره درب 7/5 سانتي سويچي"</f>
        <v>دستگيره درب 7/5 سانتي سويچي</v>
      </c>
      <c r="F1176" s="3" t="str">
        <f t="shared" si="150"/>
        <v>عدد</v>
      </c>
      <c r="G1176" s="3">
        <v>14</v>
      </c>
      <c r="H1176" s="5">
        <v>6431495</v>
      </c>
    </row>
    <row r="1177" spans="1:8" ht="18.75" x14ac:dyDescent="0.2">
      <c r="A1177" s="3" t="str">
        <f t="shared" si="147"/>
        <v>98/11/26</v>
      </c>
      <c r="B1177" s="3" t="str">
        <f t="shared" si="148"/>
        <v>كالاهاي مصرفي</v>
      </c>
      <c r="C1177" s="3" t="str">
        <f>"انبار مصرفي ZU1"</f>
        <v>انبار مصرفي ZU1</v>
      </c>
      <c r="D1177" s="3" t="str">
        <f>"0106000165"</f>
        <v>0106000165</v>
      </c>
      <c r="E1177" s="3" t="str">
        <f>"گريس يك كيلويي (SKF LGMT3/1 )"</f>
        <v>گريس يك كيلويي (SKF LGMT3/1 )</v>
      </c>
      <c r="F1177" s="3" t="str">
        <f>"قوطي"</f>
        <v>قوطي</v>
      </c>
      <c r="G1177" s="3">
        <v>2</v>
      </c>
      <c r="H1177" s="5">
        <v>6440000</v>
      </c>
    </row>
    <row r="1178" spans="1:8" ht="18.75" x14ac:dyDescent="0.2">
      <c r="A1178" s="3" t="str">
        <f t="shared" si="147"/>
        <v>98/11/26</v>
      </c>
      <c r="B1178" s="3" t="str">
        <f t="shared" si="148"/>
        <v>كالاهاي مصرفي</v>
      </c>
      <c r="C1178" s="3" t="str">
        <f>"انبار مصرفي ZU1"</f>
        <v>انبار مصرفي ZU1</v>
      </c>
      <c r="D1178" s="3" t="str">
        <f>"0204000715"</f>
        <v>0204000715</v>
      </c>
      <c r="E1178" s="3" t="str">
        <f>"كاسه نمد Mild Steel 75*100*10 AIB"</f>
        <v>كاسه نمد Mild Steel 75*100*10 AIB</v>
      </c>
      <c r="F1178" s="3" t="str">
        <f>"عدد"</f>
        <v>عدد</v>
      </c>
      <c r="G1178" s="3">
        <v>50</v>
      </c>
      <c r="H1178" s="5">
        <v>6450000</v>
      </c>
    </row>
    <row r="1179" spans="1:8" ht="18.75" x14ac:dyDescent="0.2">
      <c r="A1179" s="3" t="str">
        <f t="shared" si="147"/>
        <v>98/11/26</v>
      </c>
      <c r="B1179" s="3" t="str">
        <f t="shared" si="148"/>
        <v>كالاهاي مصرفي</v>
      </c>
      <c r="C1179" s="3" t="str">
        <f>"انبار مصرفي ZU1"</f>
        <v>انبار مصرفي ZU1</v>
      </c>
      <c r="D1179" s="3" t="str">
        <f>"0205000050"</f>
        <v>0205000050</v>
      </c>
      <c r="E1179" s="3" t="str">
        <f>"رگولاتور کنترلر ديجيتالي ولو پنوماتيک"</f>
        <v>رگولاتور کنترلر ديجيتالي ولو پنوماتيک</v>
      </c>
      <c r="F1179" s="3" t="str">
        <f>"عدد"</f>
        <v>عدد</v>
      </c>
      <c r="G1179" s="3">
        <v>1</v>
      </c>
      <c r="H1179" s="5">
        <v>6475000</v>
      </c>
    </row>
    <row r="1180" spans="1:8" ht="18.75" x14ac:dyDescent="0.2">
      <c r="A1180" s="3" t="str">
        <f t="shared" si="147"/>
        <v>98/11/26</v>
      </c>
      <c r="B1180" s="3" t="str">
        <f t="shared" si="148"/>
        <v>كالاهاي مصرفي</v>
      </c>
      <c r="C1180" s="3" t="str">
        <f>"انبار مركزي ( عمومي )"</f>
        <v>انبار مركزي ( عمومي )</v>
      </c>
      <c r="D1180" s="3" t="str">
        <f>"0203000288"</f>
        <v>0203000288</v>
      </c>
      <c r="E1180" s="3" t="str">
        <f>"نگهدارنده پيچ گوشتي (جداشونده)"</f>
        <v>نگهدارنده پيچ گوشتي (جداشونده)</v>
      </c>
      <c r="F1180" s="3" t="str">
        <f>"عدد"</f>
        <v>عدد</v>
      </c>
      <c r="G1180" s="3">
        <v>11</v>
      </c>
      <c r="H1180" s="5">
        <v>6490000</v>
      </c>
    </row>
    <row r="1181" spans="1:8" ht="18.75" x14ac:dyDescent="0.2">
      <c r="A1181" s="3" t="str">
        <f t="shared" si="147"/>
        <v>98/11/26</v>
      </c>
      <c r="B1181" s="3" t="str">
        <f t="shared" si="148"/>
        <v>كالاهاي مصرفي</v>
      </c>
      <c r="C1181" s="3" t="str">
        <f>"انبار مصرفي ZU1"</f>
        <v>انبار مصرفي ZU1</v>
      </c>
      <c r="D1181" s="3" t="str">
        <f>"0204000739"</f>
        <v>0204000739</v>
      </c>
      <c r="E1181" s="3" t="str">
        <f>"كاسه نمد Mild Steel 40*52*3 AIA"</f>
        <v>كاسه نمد Mild Steel 40*52*3 AIA</v>
      </c>
      <c r="F1181" s="3" t="str">
        <f>"عدد"</f>
        <v>عدد</v>
      </c>
      <c r="G1181" s="3">
        <v>15</v>
      </c>
      <c r="H1181" s="5">
        <v>6495000</v>
      </c>
    </row>
    <row r="1182" spans="1:8" ht="18.75" x14ac:dyDescent="0.2">
      <c r="A1182" s="3" t="str">
        <f t="shared" si="147"/>
        <v>98/11/26</v>
      </c>
      <c r="B1182" s="3" t="str">
        <f t="shared" si="148"/>
        <v>كالاهاي مصرفي</v>
      </c>
      <c r="C1182" s="3" t="str">
        <f>"انبار مصرفي ZU1"</f>
        <v>انبار مصرفي ZU1</v>
      </c>
      <c r="D1182" s="3" t="str">
        <f>"0204001997"</f>
        <v>0204001997</v>
      </c>
      <c r="E1182" s="3" t="str">
        <f>"بيرينگ 2Z-6305"</f>
        <v>بيرينگ 2Z-6305</v>
      </c>
      <c r="F1182" s="3" t="str">
        <f>"عدد"</f>
        <v>عدد</v>
      </c>
      <c r="G1182" s="3">
        <v>10</v>
      </c>
      <c r="H1182" s="5">
        <v>6500000</v>
      </c>
    </row>
    <row r="1183" spans="1:8" ht="18.75" x14ac:dyDescent="0.2">
      <c r="A1183" s="3" t="str">
        <f t="shared" si="147"/>
        <v>98/11/26</v>
      </c>
      <c r="B1183" s="3" t="str">
        <f t="shared" si="148"/>
        <v>كالاهاي مصرفي</v>
      </c>
      <c r="C1183" s="3" t="str">
        <f>"انبار مركزي ( عمومي )"</f>
        <v>انبار مركزي ( عمومي )</v>
      </c>
      <c r="D1183" s="3" t="str">
        <f>"0404000056"</f>
        <v>0404000056</v>
      </c>
      <c r="E1183" s="3" t="str">
        <f>"شارژر باطري قلمي"</f>
        <v>شارژر باطري قلمي</v>
      </c>
      <c r="F1183" s="3" t="str">
        <f>"دستگاه"</f>
        <v>دستگاه</v>
      </c>
      <c r="G1183" s="3">
        <v>13</v>
      </c>
      <c r="H1183" s="5">
        <v>6500000</v>
      </c>
    </row>
    <row r="1184" spans="1:8" ht="18.75" x14ac:dyDescent="0.2">
      <c r="A1184" s="3" t="str">
        <f t="shared" si="147"/>
        <v>98/11/26</v>
      </c>
      <c r="B1184" s="3" t="str">
        <f t="shared" si="148"/>
        <v>كالاهاي مصرفي</v>
      </c>
      <c r="C1184" s="3" t="str">
        <f>"انبار مصرفي ZU1"</f>
        <v>انبار مصرفي ZU1</v>
      </c>
      <c r="D1184" s="3" t="str">
        <f>"0213000214"</f>
        <v>0213000214</v>
      </c>
      <c r="E1184" s="3" t="str">
        <f>"پيچ دوسر رزوه M24*120"</f>
        <v>پيچ دوسر رزوه M24*120</v>
      </c>
      <c r="F1184" s="3" t="str">
        <f>"عدد"</f>
        <v>عدد</v>
      </c>
      <c r="G1184" s="3">
        <v>70</v>
      </c>
      <c r="H1184" s="5">
        <v>6503000</v>
      </c>
    </row>
    <row r="1185" spans="1:8" ht="18.75" x14ac:dyDescent="0.2">
      <c r="A1185" s="3" t="str">
        <f t="shared" si="147"/>
        <v>98/11/26</v>
      </c>
      <c r="B1185" s="3" t="str">
        <f t="shared" si="148"/>
        <v>كالاهاي مصرفي</v>
      </c>
      <c r="C1185" s="3" t="str">
        <f>"انبار مصرفي ZU1"</f>
        <v>انبار مصرفي ZU1</v>
      </c>
      <c r="D1185" s="3" t="str">
        <f>"0213000223"</f>
        <v>0213000223</v>
      </c>
      <c r="E1185" s="3" t="str">
        <f>"مهره M26"</f>
        <v>مهره M26</v>
      </c>
      <c r="F1185" s="3" t="str">
        <f>"عدد"</f>
        <v>عدد</v>
      </c>
      <c r="G1185" s="3">
        <v>295</v>
      </c>
      <c r="H1185" s="5">
        <v>6518025</v>
      </c>
    </row>
    <row r="1186" spans="1:8" ht="18.75" x14ac:dyDescent="0.2">
      <c r="A1186" s="3" t="str">
        <f t="shared" si="147"/>
        <v>98/11/26</v>
      </c>
      <c r="B1186" s="3" t="str">
        <f t="shared" si="148"/>
        <v>كالاهاي مصرفي</v>
      </c>
      <c r="C1186" s="3" t="str">
        <f>"انبار مصرفي ZU1"</f>
        <v>انبار مصرفي ZU1</v>
      </c>
      <c r="D1186" s="3" t="str">
        <f>"0213000197"</f>
        <v>0213000197</v>
      </c>
      <c r="E1186" s="3" t="str">
        <f>"واشر مسي M26"</f>
        <v>واشر مسي M26</v>
      </c>
      <c r="F1186" s="3" t="str">
        <f>"عدد"</f>
        <v>عدد</v>
      </c>
      <c r="G1186" s="3">
        <v>280</v>
      </c>
      <c r="H1186" s="5">
        <v>6524160</v>
      </c>
    </row>
    <row r="1187" spans="1:8" ht="18.75" x14ac:dyDescent="0.2">
      <c r="A1187" s="3" t="str">
        <f t="shared" si="147"/>
        <v>98/11/26</v>
      </c>
      <c r="B1187" s="3" t="str">
        <f t="shared" si="148"/>
        <v>كالاهاي مصرفي</v>
      </c>
      <c r="C1187" s="3" t="str">
        <f>"انبار مصرفي ZU1"</f>
        <v>انبار مصرفي ZU1</v>
      </c>
      <c r="D1187" s="3" t="str">
        <f>"0204001418"</f>
        <v>0204001418</v>
      </c>
      <c r="E1187" s="3" t="str">
        <f>"فيبر وفنر 40mm"</f>
        <v>فيبر وفنر 40mm</v>
      </c>
      <c r="F1187" s="3" t="str">
        <f>"عدد"</f>
        <v>عدد</v>
      </c>
      <c r="G1187" s="3">
        <v>13</v>
      </c>
      <c r="H1187" s="5">
        <v>6543334</v>
      </c>
    </row>
    <row r="1188" spans="1:8" ht="18.75" x14ac:dyDescent="0.2">
      <c r="A1188" s="3" t="str">
        <f t="shared" si="147"/>
        <v>98/11/26</v>
      </c>
      <c r="B1188" s="3" t="str">
        <f t="shared" si="148"/>
        <v>كالاهاي مصرفي</v>
      </c>
      <c r="C1188" s="3" t="str">
        <f>"انبار مركزي ( عمومي )"</f>
        <v>انبار مركزي ( عمومي )</v>
      </c>
      <c r="D1188" s="3" t="str">
        <f>"0203000138"</f>
        <v>0203000138</v>
      </c>
      <c r="E1188" s="3" t="str">
        <f>"آچار يكسر رينگ ويكسر تخت ست كامل"</f>
        <v>آچار يكسر رينگ ويكسر تخت ست كامل</v>
      </c>
      <c r="F1188" s="3" t="str">
        <f>"سري"</f>
        <v>سري</v>
      </c>
      <c r="G1188" s="3">
        <v>1</v>
      </c>
      <c r="H1188" s="5">
        <v>6550000</v>
      </c>
    </row>
    <row r="1189" spans="1:8" ht="18.75" x14ac:dyDescent="0.2">
      <c r="A1189" s="3" t="str">
        <f t="shared" si="147"/>
        <v>98/11/26</v>
      </c>
      <c r="B1189" s="3" t="str">
        <f t="shared" si="148"/>
        <v>كالاهاي مصرفي</v>
      </c>
      <c r="C1189" s="3" t="str">
        <f>"انبار مركزي ( عمومي )"</f>
        <v>انبار مركزي ( عمومي )</v>
      </c>
      <c r="D1189" s="3" t="str">
        <f>"0203000145"</f>
        <v>0203000145</v>
      </c>
      <c r="E1189" s="3" t="str">
        <f>"متر فلزي 5 متري"</f>
        <v>متر فلزي 5 متري</v>
      </c>
      <c r="F1189" s="3" t="str">
        <f t="shared" ref="F1189:F1194" si="151">"عدد"</f>
        <v>عدد</v>
      </c>
      <c r="G1189" s="3">
        <v>5</v>
      </c>
      <c r="H1189" s="5">
        <v>6567481</v>
      </c>
    </row>
    <row r="1190" spans="1:8" ht="18.75" x14ac:dyDescent="0.2">
      <c r="A1190" s="3" t="str">
        <f t="shared" si="147"/>
        <v>98/11/26</v>
      </c>
      <c r="B1190" s="3" t="str">
        <f t="shared" si="148"/>
        <v>كالاهاي مصرفي</v>
      </c>
      <c r="C1190" s="3" t="str">
        <f>"انبار مصرفي ZU1"</f>
        <v>انبار مصرفي ZU1</v>
      </c>
      <c r="D1190" s="3" t="str">
        <f>"0213000198"</f>
        <v>0213000198</v>
      </c>
      <c r="E1190" s="3" t="str">
        <f>"واشر مسي M28"</f>
        <v>واشر مسي M28</v>
      </c>
      <c r="F1190" s="3" t="str">
        <f t="shared" si="151"/>
        <v>عدد</v>
      </c>
      <c r="G1190" s="3">
        <v>280</v>
      </c>
      <c r="H1190" s="5">
        <v>6576000</v>
      </c>
    </row>
    <row r="1191" spans="1:8" ht="18.75" x14ac:dyDescent="0.2">
      <c r="A1191" s="3" t="str">
        <f t="shared" si="147"/>
        <v>98/11/26</v>
      </c>
      <c r="B1191" s="3" t="str">
        <f t="shared" si="148"/>
        <v>كالاهاي مصرفي</v>
      </c>
      <c r="C1191" s="3" t="str">
        <f>"انبار مصرفي ZU1"</f>
        <v>انبار مصرفي ZU1</v>
      </c>
      <c r="D1191" s="3" t="str">
        <f>"0204000379"</f>
        <v>0204000379</v>
      </c>
      <c r="E1191" s="3" t="str">
        <f>"بيرينگ 3204-ATN/9"</f>
        <v>بيرينگ 3204-ATN/9</v>
      </c>
      <c r="F1191" s="3" t="str">
        <f t="shared" si="151"/>
        <v>عدد</v>
      </c>
      <c r="G1191" s="3">
        <v>12</v>
      </c>
      <c r="H1191" s="5">
        <v>6580000</v>
      </c>
    </row>
    <row r="1192" spans="1:8" ht="18.75" x14ac:dyDescent="0.2">
      <c r="A1192" s="3" t="str">
        <f t="shared" si="147"/>
        <v>98/11/26</v>
      </c>
      <c r="B1192" s="3" t="str">
        <f t="shared" si="148"/>
        <v>كالاهاي مصرفي</v>
      </c>
      <c r="C1192" s="3" t="str">
        <f>"انبار مصرفي ZU1"</f>
        <v>انبار مصرفي ZU1</v>
      </c>
      <c r="D1192" s="3" t="str">
        <f>"0203000042"</f>
        <v>0203000042</v>
      </c>
      <c r="E1192" s="3" t="str">
        <f>"گاز انبر نجاري 180 ميل"</f>
        <v>گاز انبر نجاري 180 ميل</v>
      </c>
      <c r="F1192" s="3" t="str">
        <f t="shared" si="151"/>
        <v>عدد</v>
      </c>
      <c r="G1192" s="3">
        <v>11</v>
      </c>
      <c r="H1192" s="5">
        <v>6600000</v>
      </c>
    </row>
    <row r="1193" spans="1:8" ht="18.75" x14ac:dyDescent="0.2">
      <c r="A1193" s="3" t="str">
        <f t="shared" si="147"/>
        <v>98/11/26</v>
      </c>
      <c r="B1193" s="3" t="str">
        <f t="shared" si="148"/>
        <v>كالاهاي مصرفي</v>
      </c>
      <c r="C1193" s="3" t="str">
        <f>"انبار مصرفي ZU1"</f>
        <v>انبار مصرفي ZU1</v>
      </c>
      <c r="D1193" s="3" t="str">
        <f>"0204000612"</f>
        <v>0204000612</v>
      </c>
      <c r="E1193" s="3" t="str">
        <f>"بيرينگ 6308-2RS"</f>
        <v>بيرينگ 6308-2RS</v>
      </c>
      <c r="F1193" s="3" t="str">
        <f t="shared" si="151"/>
        <v>عدد</v>
      </c>
      <c r="G1193" s="3">
        <v>20</v>
      </c>
      <c r="H1193" s="5">
        <v>6600000</v>
      </c>
    </row>
    <row r="1194" spans="1:8" ht="18.75" x14ac:dyDescent="0.2">
      <c r="A1194" s="3" t="str">
        <f t="shared" si="147"/>
        <v>98/11/26</v>
      </c>
      <c r="B1194" s="3" t="str">
        <f t="shared" si="148"/>
        <v>كالاهاي مصرفي</v>
      </c>
      <c r="C1194" s="3" t="str">
        <f>"انبار مركزي ( عمومي )"</f>
        <v>انبار مركزي ( عمومي )</v>
      </c>
      <c r="D1194" s="3" t="str">
        <f>"0206000014"</f>
        <v>0206000014</v>
      </c>
      <c r="E1194" s="3" t="str">
        <f>"شناور  فلاش تانك پلاستيكي 3/4 اينچ"</f>
        <v>شناور  فلاش تانك پلاستيكي 3/4 اينچ</v>
      </c>
      <c r="F1194" s="3" t="str">
        <f t="shared" si="151"/>
        <v>عدد</v>
      </c>
      <c r="G1194" s="3">
        <v>30</v>
      </c>
      <c r="H1194" s="5">
        <v>6600000</v>
      </c>
    </row>
    <row r="1195" spans="1:8" ht="18.75" x14ac:dyDescent="0.2">
      <c r="A1195" s="3" t="str">
        <f t="shared" si="147"/>
        <v>98/11/26</v>
      </c>
      <c r="B1195" s="3" t="str">
        <f t="shared" si="148"/>
        <v>كالاهاي مصرفي</v>
      </c>
      <c r="C1195" s="3" t="str">
        <f>"انبار مركزي ( عمومي )"</f>
        <v>انبار مركزي ( عمومي )</v>
      </c>
      <c r="D1195" s="3" t="str">
        <f>"0601000126"</f>
        <v>0601000126</v>
      </c>
      <c r="E1195" s="3" t="str">
        <f>"كفش عايق برق 10000 ولت"</f>
        <v>كفش عايق برق 10000 ولت</v>
      </c>
      <c r="F1195" s="3" t="str">
        <f>"جفت"</f>
        <v>جفت</v>
      </c>
      <c r="G1195" s="3">
        <v>2</v>
      </c>
      <c r="H1195" s="5">
        <v>6600000</v>
      </c>
    </row>
    <row r="1196" spans="1:8" ht="18.75" x14ac:dyDescent="0.2">
      <c r="A1196" s="3" t="str">
        <f t="shared" si="147"/>
        <v>98/11/26</v>
      </c>
      <c r="B1196" s="3" t="str">
        <f t="shared" si="148"/>
        <v>كالاهاي مصرفي</v>
      </c>
      <c r="C1196" s="3" t="str">
        <f>"انبار مصرفي ZU1"</f>
        <v>انبار مصرفي ZU1</v>
      </c>
      <c r="D1196" s="3" t="str">
        <f>"0213000150"</f>
        <v>0213000150</v>
      </c>
      <c r="E1196" s="3" t="str">
        <f>"پيچ M34*80"</f>
        <v>پيچ M34*80</v>
      </c>
      <c r="F1196" s="3" t="str">
        <f>"عدد"</f>
        <v>عدد</v>
      </c>
      <c r="G1196" s="3">
        <v>75</v>
      </c>
      <c r="H1196" s="5">
        <v>6637500</v>
      </c>
    </row>
    <row r="1197" spans="1:8" ht="18.75" x14ac:dyDescent="0.2">
      <c r="A1197" s="3" t="str">
        <f t="shared" si="147"/>
        <v>98/11/26</v>
      </c>
      <c r="B1197" s="3" t="str">
        <f t="shared" si="148"/>
        <v>كالاهاي مصرفي</v>
      </c>
      <c r="C1197" s="3" t="str">
        <f>"انبار مركزي ( عمومي )"</f>
        <v>انبار مركزي ( عمومي )</v>
      </c>
      <c r="D1197" s="3" t="str">
        <f>"0904000018"</f>
        <v>0904000018</v>
      </c>
      <c r="E1197" s="3" t="str">
        <f>"Network Card 10/100/1000 DLink DGE-528T"</f>
        <v>Network Card 10/100/1000 DLink DGE-528T</v>
      </c>
      <c r="F1197" s="3" t="str">
        <f>"عدد"</f>
        <v>عدد</v>
      </c>
      <c r="G1197" s="3">
        <v>14</v>
      </c>
      <c r="H1197" s="5">
        <v>6637647</v>
      </c>
    </row>
    <row r="1198" spans="1:8" ht="18.75" x14ac:dyDescent="0.2">
      <c r="A1198" s="3" t="str">
        <f t="shared" si="147"/>
        <v>98/11/26</v>
      </c>
      <c r="B1198" s="3" t="str">
        <f t="shared" si="148"/>
        <v>كالاهاي مصرفي</v>
      </c>
      <c r="C1198" s="3" t="str">
        <f>"انبار مصرفي ZU1"</f>
        <v>انبار مصرفي ZU1</v>
      </c>
      <c r="D1198" s="3" t="str">
        <f>"0204000394"</f>
        <v>0204000394</v>
      </c>
      <c r="E1198" s="3" t="str">
        <f>"بيرينگ NU310-ECM"</f>
        <v>بيرينگ NU310-ECM</v>
      </c>
      <c r="F1198" s="3" t="str">
        <f>"عدد"</f>
        <v>عدد</v>
      </c>
      <c r="G1198" s="3">
        <v>2</v>
      </c>
      <c r="H1198" s="5">
        <v>6670000</v>
      </c>
    </row>
    <row r="1199" spans="1:8" ht="18.75" x14ac:dyDescent="0.2">
      <c r="A1199" s="3" t="str">
        <f t="shared" si="147"/>
        <v>98/11/26</v>
      </c>
      <c r="B1199" s="3" t="str">
        <f t="shared" si="148"/>
        <v>كالاهاي مصرفي</v>
      </c>
      <c r="C1199" s="3" t="str">
        <f>"انبار مركزي ( عمومي )"</f>
        <v>انبار مركزي ( عمومي )</v>
      </c>
      <c r="D1199" s="3" t="str">
        <f>"0213000291"</f>
        <v>0213000291</v>
      </c>
      <c r="E1199" s="3" t="str">
        <f>"برس فرش"</f>
        <v>برس فرش</v>
      </c>
      <c r="F1199" s="3" t="str">
        <f>"عدد"</f>
        <v>عدد</v>
      </c>
      <c r="G1199" s="3">
        <v>222</v>
      </c>
      <c r="H1199" s="5">
        <v>6670000</v>
      </c>
    </row>
    <row r="1200" spans="1:8" ht="18.75" x14ac:dyDescent="0.2">
      <c r="A1200" s="3" t="str">
        <f t="shared" si="147"/>
        <v>98/11/26</v>
      </c>
      <c r="B1200" s="3" t="str">
        <f t="shared" si="148"/>
        <v>كالاهاي مصرفي</v>
      </c>
      <c r="C1200" s="3" t="str">
        <f t="shared" ref="C1200:C1208" si="152">"انبار مصرفي ZU1"</f>
        <v>انبار مصرفي ZU1</v>
      </c>
      <c r="D1200" s="3" t="str">
        <f>"0213000569"</f>
        <v>0213000569</v>
      </c>
      <c r="E1200" s="3" t="str">
        <f>"پوساب P1200 معمولي"</f>
        <v>پوساب P1200 معمولي</v>
      </c>
      <c r="F1200" s="3" t="str">
        <f>"برگ"</f>
        <v>برگ</v>
      </c>
      <c r="G1200" s="3">
        <v>408</v>
      </c>
      <c r="H1200" s="5">
        <v>6716415</v>
      </c>
    </row>
    <row r="1201" spans="1:8" ht="18.75" x14ac:dyDescent="0.2">
      <c r="A1201" s="3" t="str">
        <f t="shared" si="147"/>
        <v>98/11/26</v>
      </c>
      <c r="B1201" s="3" t="str">
        <f t="shared" si="148"/>
        <v>كالاهاي مصرفي</v>
      </c>
      <c r="C1201" s="3" t="str">
        <f t="shared" si="152"/>
        <v>انبار مصرفي ZU1</v>
      </c>
      <c r="D1201" s="3" t="str">
        <f>"0106000227"</f>
        <v>0106000227</v>
      </c>
      <c r="E1201" s="3" t="str">
        <f>"روغن Mobilegear 600 XP 100"</f>
        <v>روغن Mobilegear 600 XP 100</v>
      </c>
      <c r="F1201" s="3" t="str">
        <f>"ليتر"</f>
        <v>ليتر</v>
      </c>
      <c r="G1201" s="3">
        <v>20</v>
      </c>
      <c r="H1201" s="5">
        <v>6750000</v>
      </c>
    </row>
    <row r="1202" spans="1:8" ht="18.75" x14ac:dyDescent="0.2">
      <c r="A1202" s="3" t="str">
        <f t="shared" si="147"/>
        <v>98/11/26</v>
      </c>
      <c r="B1202" s="3" t="str">
        <f t="shared" si="148"/>
        <v>كالاهاي مصرفي</v>
      </c>
      <c r="C1202" s="3" t="str">
        <f t="shared" si="152"/>
        <v>انبار مصرفي ZU1</v>
      </c>
      <c r="D1202" s="3" t="str">
        <f>"0204000129"</f>
        <v>0204000129</v>
      </c>
      <c r="E1202" s="3" t="str">
        <f>"پكينگ آبندي فشاري 6*6 نخ گرافيتي ازبست دار"</f>
        <v>پكينگ آبندي فشاري 6*6 نخ گرافيتي ازبست دار</v>
      </c>
      <c r="F1202" s="3" t="str">
        <f>"کيلوگرم"</f>
        <v>کيلوگرم</v>
      </c>
      <c r="G1202" s="3">
        <v>15</v>
      </c>
      <c r="H1202" s="5">
        <v>6750000</v>
      </c>
    </row>
    <row r="1203" spans="1:8" ht="18.75" x14ac:dyDescent="0.2">
      <c r="A1203" s="3" t="str">
        <f t="shared" si="147"/>
        <v>98/11/26</v>
      </c>
      <c r="B1203" s="3" t="str">
        <f t="shared" si="148"/>
        <v>كالاهاي مصرفي</v>
      </c>
      <c r="C1203" s="3" t="str">
        <f t="shared" si="152"/>
        <v>انبار مصرفي ZU1</v>
      </c>
      <c r="D1203" s="3" t="str">
        <f>"0204000130"</f>
        <v>0204000130</v>
      </c>
      <c r="E1203" s="3" t="str">
        <f>"پكينگ آبندي فشاري 8*8 نخ گرافيتي ازبست دار"</f>
        <v>پكينگ آبندي فشاري 8*8 نخ گرافيتي ازبست دار</v>
      </c>
      <c r="F1203" s="3" t="str">
        <f>"کيلوگرم"</f>
        <v>کيلوگرم</v>
      </c>
      <c r="G1203" s="3">
        <v>15</v>
      </c>
      <c r="H1203" s="5">
        <v>6750000</v>
      </c>
    </row>
    <row r="1204" spans="1:8" ht="18.75" x14ac:dyDescent="0.2">
      <c r="A1204" s="3" t="str">
        <f t="shared" si="147"/>
        <v>98/11/26</v>
      </c>
      <c r="B1204" s="3" t="str">
        <f t="shared" si="148"/>
        <v>كالاهاي مصرفي</v>
      </c>
      <c r="C1204" s="3" t="str">
        <f t="shared" si="152"/>
        <v>انبار مصرفي ZU1</v>
      </c>
      <c r="D1204" s="3" t="str">
        <f>"0213000109"</f>
        <v>0213000109</v>
      </c>
      <c r="E1204" s="3" t="str">
        <f>"پيچ تمام رزوه استنلس استيل M10"</f>
        <v>پيچ تمام رزوه استنلس استيل M10</v>
      </c>
      <c r="F1204" s="3" t="str">
        <f>"متر"</f>
        <v>متر</v>
      </c>
      <c r="G1204" s="3">
        <v>12</v>
      </c>
      <c r="H1204" s="5">
        <v>6780000</v>
      </c>
    </row>
    <row r="1205" spans="1:8" ht="18.75" x14ac:dyDescent="0.2">
      <c r="A1205" s="3" t="str">
        <f t="shared" si="147"/>
        <v>98/11/26</v>
      </c>
      <c r="B1205" s="3" t="str">
        <f t="shared" si="148"/>
        <v>كالاهاي مصرفي</v>
      </c>
      <c r="C1205" s="3" t="str">
        <f t="shared" si="152"/>
        <v>انبار مصرفي ZU1</v>
      </c>
      <c r="D1205" s="3" t="str">
        <f>"0103000062"</f>
        <v>0103000062</v>
      </c>
      <c r="E1205" s="3" t="str">
        <f>"نيتريت پتاسيم KNO2"</f>
        <v>نيتريت پتاسيم KNO2</v>
      </c>
      <c r="F1205" s="3" t="str">
        <f>"کيلوگرم"</f>
        <v>کيلوگرم</v>
      </c>
      <c r="G1205" s="3">
        <v>1</v>
      </c>
      <c r="H1205" s="5">
        <v>6800000</v>
      </c>
    </row>
    <row r="1206" spans="1:8" ht="18.75" x14ac:dyDescent="0.2">
      <c r="A1206" s="3" t="str">
        <f t="shared" si="147"/>
        <v>98/11/26</v>
      </c>
      <c r="B1206" s="3" t="str">
        <f t="shared" si="148"/>
        <v>كالاهاي مصرفي</v>
      </c>
      <c r="C1206" s="3" t="str">
        <f t="shared" si="152"/>
        <v>انبار مصرفي ZU1</v>
      </c>
      <c r="D1206" s="3" t="str">
        <f>"0204000079"</f>
        <v>0204000079</v>
      </c>
      <c r="E1206" s="3" t="str">
        <f>"بيرينگ NU305-M"</f>
        <v>بيرينگ NU305-M</v>
      </c>
      <c r="F1206" s="3" t="str">
        <f>"عدد"</f>
        <v>عدد</v>
      </c>
      <c r="G1206" s="3">
        <v>10</v>
      </c>
      <c r="H1206" s="5">
        <v>6800000</v>
      </c>
    </row>
    <row r="1207" spans="1:8" ht="18.75" x14ac:dyDescent="0.2">
      <c r="A1207" s="3" t="str">
        <f t="shared" si="147"/>
        <v>98/11/26</v>
      </c>
      <c r="B1207" s="3" t="str">
        <f t="shared" si="148"/>
        <v>كالاهاي مصرفي</v>
      </c>
      <c r="C1207" s="3" t="str">
        <f t="shared" si="152"/>
        <v>انبار مصرفي ZU1</v>
      </c>
      <c r="D1207" s="3" t="str">
        <f>"0204000120"</f>
        <v>0204000120</v>
      </c>
      <c r="E1207" s="3" t="str">
        <f>"بيرينگ NU316-ECM"</f>
        <v>بيرينگ NU316-ECM</v>
      </c>
      <c r="F1207" s="3" t="str">
        <f>"عدد"</f>
        <v>عدد</v>
      </c>
      <c r="G1207" s="3">
        <v>1</v>
      </c>
      <c r="H1207" s="5">
        <v>6800000</v>
      </c>
    </row>
    <row r="1208" spans="1:8" ht="18.75" x14ac:dyDescent="0.2">
      <c r="A1208" s="3" t="str">
        <f t="shared" si="147"/>
        <v>98/11/26</v>
      </c>
      <c r="B1208" s="3" t="str">
        <f t="shared" si="148"/>
        <v>كالاهاي مصرفي</v>
      </c>
      <c r="C1208" s="3" t="str">
        <f t="shared" si="152"/>
        <v>انبار مصرفي ZU1</v>
      </c>
      <c r="D1208" s="3" t="str">
        <f>"0204001940"</f>
        <v>0204001940</v>
      </c>
      <c r="E1208" s="3" t="str">
        <f>"بيرينگ NJ 410"</f>
        <v>بيرينگ NJ 410</v>
      </c>
      <c r="F1208" s="3" t="str">
        <f>"عدد"</f>
        <v>عدد</v>
      </c>
      <c r="G1208" s="3">
        <v>2</v>
      </c>
      <c r="H1208" s="5">
        <v>6800000</v>
      </c>
    </row>
    <row r="1209" spans="1:8" ht="18.75" x14ac:dyDescent="0.2">
      <c r="A1209" s="3" t="str">
        <f t="shared" si="147"/>
        <v>98/11/26</v>
      </c>
      <c r="B1209" s="3" t="str">
        <f t="shared" si="148"/>
        <v>كالاهاي مصرفي</v>
      </c>
      <c r="C1209" s="3" t="str">
        <f>"انبار مركزي ( عمومي )"</f>
        <v>انبار مركزي ( عمومي )</v>
      </c>
      <c r="D1209" s="3" t="str">
        <f>"0211001409"</f>
        <v>0211001409</v>
      </c>
      <c r="E1209" s="3" t="str">
        <f>"طناب نخي 16mm"</f>
        <v>طناب نخي 16mm</v>
      </c>
      <c r="F1209" s="3" t="str">
        <f>"متر"</f>
        <v>متر</v>
      </c>
      <c r="G1209" s="3">
        <v>80</v>
      </c>
      <c r="H1209" s="5">
        <v>6800000</v>
      </c>
    </row>
    <row r="1210" spans="1:8" ht="18.75" x14ac:dyDescent="0.2">
      <c r="A1210" s="3" t="str">
        <f t="shared" si="147"/>
        <v>98/11/26</v>
      </c>
      <c r="B1210" s="3" t="str">
        <f t="shared" si="148"/>
        <v>كالاهاي مصرفي</v>
      </c>
      <c r="C1210" s="3" t="str">
        <f>"انبار مركزي ( عمومي )"</f>
        <v>انبار مركزي ( عمومي )</v>
      </c>
      <c r="D1210" s="3" t="str">
        <f>"0203000287"</f>
        <v>0203000287</v>
      </c>
      <c r="E1210" s="3" t="str">
        <f>"نگهدارنده پيچ گوشتي (چسبنده)"</f>
        <v>نگهدارنده پيچ گوشتي (چسبنده)</v>
      </c>
      <c r="F1210" s="3" t="str">
        <f>"عدد"</f>
        <v>عدد</v>
      </c>
      <c r="G1210" s="3">
        <v>11</v>
      </c>
      <c r="H1210" s="5">
        <v>6820000</v>
      </c>
    </row>
    <row r="1211" spans="1:8" ht="18.75" x14ac:dyDescent="0.2">
      <c r="A1211" s="3" t="str">
        <f t="shared" si="147"/>
        <v>98/11/26</v>
      </c>
      <c r="B1211" s="3" t="str">
        <f t="shared" si="148"/>
        <v>كالاهاي مصرفي</v>
      </c>
      <c r="C1211" s="3" t="str">
        <f>"انبار مصرفي ZU1"</f>
        <v>انبار مصرفي ZU1</v>
      </c>
      <c r="D1211" s="3" t="str">
        <f>"0203000140"</f>
        <v>0203000140</v>
      </c>
      <c r="E1211" s="3" t="str">
        <f>"پيچ گوشتي( چهار سو ) ست كامل"</f>
        <v>پيچ گوشتي( چهار سو ) ست كامل</v>
      </c>
      <c r="F1211" s="3" t="str">
        <f>"سري"</f>
        <v>سري</v>
      </c>
      <c r="G1211" s="3">
        <v>11</v>
      </c>
      <c r="H1211" s="5">
        <v>6832392</v>
      </c>
    </row>
    <row r="1212" spans="1:8" ht="18.75" x14ac:dyDescent="0.2">
      <c r="A1212" s="3" t="str">
        <f t="shared" si="147"/>
        <v>98/11/26</v>
      </c>
      <c r="B1212" s="3" t="str">
        <f t="shared" si="148"/>
        <v>كالاهاي مصرفي</v>
      </c>
      <c r="C1212" s="3" t="str">
        <f>"انبار مركزي ( عمومي )"</f>
        <v>انبار مركزي ( عمومي )</v>
      </c>
      <c r="D1212" s="3" t="str">
        <f>"0213000605"</f>
        <v>0213000605</v>
      </c>
      <c r="E1212" s="3" t="str">
        <f>"پوساب P220 معمولي"</f>
        <v>پوساب P220 معمولي</v>
      </c>
      <c r="F1212" s="3" t="str">
        <f>"برگ"</f>
        <v>برگ</v>
      </c>
      <c r="G1212" s="3">
        <v>250</v>
      </c>
      <c r="H1212" s="5">
        <v>6854167</v>
      </c>
    </row>
    <row r="1213" spans="1:8" ht="18.75" x14ac:dyDescent="0.2">
      <c r="A1213" s="3" t="str">
        <f t="shared" si="147"/>
        <v>98/11/26</v>
      </c>
      <c r="B1213" s="3" t="str">
        <f t="shared" si="148"/>
        <v>كالاهاي مصرفي</v>
      </c>
      <c r="C1213" s="3" t="str">
        <f>"انبار مصرفي ZU1"</f>
        <v>انبار مصرفي ZU1</v>
      </c>
      <c r="D1213" s="3" t="str">
        <f>"0204001890"</f>
        <v>0204001890</v>
      </c>
      <c r="E1213" s="3" t="str">
        <f>"كاسه نمد Mild Steel 45*60*8 UA1 FKM 85-90"</f>
        <v>كاسه نمد Mild Steel 45*60*8 UA1 FKM 85-90</v>
      </c>
      <c r="F1213" s="3" t="str">
        <f>"عدد"</f>
        <v>عدد</v>
      </c>
      <c r="G1213" s="3">
        <v>15</v>
      </c>
      <c r="H1213" s="5">
        <v>6855000</v>
      </c>
    </row>
    <row r="1214" spans="1:8" ht="18.75" x14ac:dyDescent="0.2">
      <c r="A1214" s="3" t="str">
        <f t="shared" si="147"/>
        <v>98/11/26</v>
      </c>
      <c r="B1214" s="3" t="str">
        <f t="shared" si="148"/>
        <v>كالاهاي مصرفي</v>
      </c>
      <c r="C1214" s="3" t="str">
        <f>"انبار مركزي ( عمومي )"</f>
        <v>انبار مركزي ( عمومي )</v>
      </c>
      <c r="D1214" s="3" t="str">
        <f>"0211001615"</f>
        <v>0211001615</v>
      </c>
      <c r="E1214" s="3" t="str">
        <f>"باطري كتابي قابل شارژ 12 ولت"</f>
        <v>باطري كتابي قابل شارژ 12 ولت</v>
      </c>
      <c r="F1214" s="3" t="str">
        <f>"عدد"</f>
        <v>عدد</v>
      </c>
      <c r="G1214" s="3">
        <v>20</v>
      </c>
      <c r="H1214" s="5">
        <v>6900000</v>
      </c>
    </row>
    <row r="1215" spans="1:8" ht="18.75" x14ac:dyDescent="0.2">
      <c r="A1215" s="3" t="str">
        <f t="shared" si="147"/>
        <v>98/11/26</v>
      </c>
      <c r="B1215" s="3" t="str">
        <f t="shared" si="148"/>
        <v>كالاهاي مصرفي</v>
      </c>
      <c r="C1215" s="3" t="str">
        <f>"انبار مصرفي ZU1"</f>
        <v>انبار مصرفي ZU1</v>
      </c>
      <c r="D1215" s="3" t="str">
        <f>"0211001080"</f>
        <v>0211001080</v>
      </c>
      <c r="E1215" s="3" t="str">
        <f>"نوار تفلون"</f>
        <v>نوار تفلون</v>
      </c>
      <c r="F1215" s="3" t="str">
        <f>"حلقه"</f>
        <v>حلقه</v>
      </c>
      <c r="G1215" s="3">
        <v>278</v>
      </c>
      <c r="H1215" s="5">
        <v>6917346</v>
      </c>
    </row>
    <row r="1216" spans="1:8" ht="18.75" x14ac:dyDescent="0.2">
      <c r="A1216" s="3" t="str">
        <f t="shared" si="147"/>
        <v>98/11/26</v>
      </c>
      <c r="B1216" s="3" t="str">
        <f t="shared" si="148"/>
        <v>كالاهاي مصرفي</v>
      </c>
      <c r="C1216" s="3" t="str">
        <f>"انبار مصرفي ZU1"</f>
        <v>انبار مصرفي ZU1</v>
      </c>
      <c r="D1216" s="3" t="str">
        <f>"0204000724"</f>
        <v>0204000724</v>
      </c>
      <c r="E1216" s="3" t="str">
        <f>"كاسه نمد Mild Steel 90*125*13 AIB"</f>
        <v>كاسه نمد Mild Steel 90*125*13 AIB</v>
      </c>
      <c r="F1216" s="3" t="str">
        <f>"عدد"</f>
        <v>عدد</v>
      </c>
      <c r="G1216" s="3">
        <v>18</v>
      </c>
      <c r="H1216" s="5">
        <v>6948000</v>
      </c>
    </row>
    <row r="1217" spans="1:8" ht="18.75" x14ac:dyDescent="0.2">
      <c r="A1217" s="3" t="str">
        <f t="shared" si="147"/>
        <v>98/11/26</v>
      </c>
      <c r="B1217" s="3" t="str">
        <f t="shared" si="148"/>
        <v>كالاهاي مصرفي</v>
      </c>
      <c r="C1217" s="3" t="str">
        <f>"انبار مركزي ( عمومي )"</f>
        <v>انبار مركزي ( عمومي )</v>
      </c>
      <c r="D1217" s="3" t="str">
        <f>"0211000584"</f>
        <v>0211000584</v>
      </c>
      <c r="E1217" s="3" t="str">
        <f>"لمينت شيت A4"</f>
        <v>لمينت شيت A4</v>
      </c>
      <c r="F1217" s="3" t="str">
        <f>"بسته"</f>
        <v>بسته</v>
      </c>
      <c r="G1217" s="3">
        <v>12</v>
      </c>
      <c r="H1217" s="5">
        <v>6960000</v>
      </c>
    </row>
    <row r="1218" spans="1:8" ht="18.75" x14ac:dyDescent="0.2">
      <c r="A1218" s="3" t="str">
        <f t="shared" ref="A1218:A1281" si="153">"98/11/26"</f>
        <v>98/11/26</v>
      </c>
      <c r="B1218" s="3" t="str">
        <f t="shared" ref="B1218:B1281" si="154">"كالاهاي مصرفي"</f>
        <v>كالاهاي مصرفي</v>
      </c>
      <c r="C1218" s="3" t="str">
        <f>"انبار مصرفي ZU1"</f>
        <v>انبار مصرفي ZU1</v>
      </c>
      <c r="D1218" s="3" t="str">
        <f>"0204001372"</f>
        <v>0204001372</v>
      </c>
      <c r="E1218" s="3" t="str">
        <f>"اورينگ HNBR 183*4"</f>
        <v>اورينگ HNBR 183*4</v>
      </c>
      <c r="F1218" s="3" t="str">
        <f>"عدد"</f>
        <v>عدد</v>
      </c>
      <c r="G1218" s="3">
        <v>20</v>
      </c>
      <c r="H1218" s="5">
        <v>6980000</v>
      </c>
    </row>
    <row r="1219" spans="1:8" ht="18.75" x14ac:dyDescent="0.2">
      <c r="A1219" s="3" t="str">
        <f t="shared" si="153"/>
        <v>98/11/26</v>
      </c>
      <c r="B1219" s="3" t="str">
        <f t="shared" si="154"/>
        <v>كالاهاي مصرفي</v>
      </c>
      <c r="C1219" s="3" t="str">
        <f>"انبار مصرفي ZU1"</f>
        <v>انبار مصرفي ZU1</v>
      </c>
      <c r="D1219" s="3" t="str">
        <f>"0204000854"</f>
        <v>0204000854</v>
      </c>
      <c r="E1219" s="3" t="str">
        <f>"تسمه پروانه XPA1400"</f>
        <v>تسمه پروانه XPA1400</v>
      </c>
      <c r="F1219" s="3" t="str">
        <f>"حلقه"</f>
        <v>حلقه</v>
      </c>
      <c r="G1219" s="3">
        <v>27</v>
      </c>
      <c r="H1219" s="5">
        <v>6990000</v>
      </c>
    </row>
    <row r="1220" spans="1:8" ht="18.75" x14ac:dyDescent="0.2">
      <c r="A1220" s="3" t="str">
        <f t="shared" si="153"/>
        <v>98/11/26</v>
      </c>
      <c r="B1220" s="3" t="str">
        <f t="shared" si="154"/>
        <v>كالاهاي مصرفي</v>
      </c>
      <c r="C1220" s="3" t="str">
        <f>"انبار مصرفي ZU1"</f>
        <v>انبار مصرفي ZU1</v>
      </c>
      <c r="D1220" s="3" t="str">
        <f>"0204001338"</f>
        <v>0204001338</v>
      </c>
      <c r="E1220" s="3" t="str">
        <f>"اورينگ HNBR 240*4.0"</f>
        <v>اورينگ HNBR 240*4.0</v>
      </c>
      <c r="F1220" s="3" t="str">
        <f>"عدد"</f>
        <v>عدد</v>
      </c>
      <c r="G1220" s="3">
        <v>15</v>
      </c>
      <c r="H1220" s="5">
        <v>6990000</v>
      </c>
    </row>
    <row r="1221" spans="1:8" ht="18.75" x14ac:dyDescent="0.2">
      <c r="A1221" s="3" t="str">
        <f t="shared" si="153"/>
        <v>98/11/26</v>
      </c>
      <c r="B1221" s="3" t="str">
        <f t="shared" si="154"/>
        <v>كالاهاي مصرفي</v>
      </c>
      <c r="C1221" s="3" t="str">
        <f>"انبار مصرفي ZU1"</f>
        <v>انبار مصرفي ZU1</v>
      </c>
      <c r="D1221" s="3" t="str">
        <f>"0204001156"</f>
        <v>0204001156</v>
      </c>
      <c r="E1221" s="3" t="str">
        <f>"پکينگ آببندي (فشاري) گرافيتي آزبستي 5*5 ميليمتر"</f>
        <v>پکينگ آببندي (فشاري) گرافيتي آزبستي 5*5 ميليمتر</v>
      </c>
      <c r="F1221" s="3" t="str">
        <f>"قرقره"</f>
        <v>قرقره</v>
      </c>
      <c r="G1221" s="3">
        <v>1</v>
      </c>
      <c r="H1221" s="5">
        <v>7000000</v>
      </c>
    </row>
    <row r="1222" spans="1:8" ht="18.75" x14ac:dyDescent="0.2">
      <c r="A1222" s="3" t="str">
        <f t="shared" si="153"/>
        <v>98/11/26</v>
      </c>
      <c r="B1222" s="3" t="str">
        <f t="shared" si="154"/>
        <v>كالاهاي مصرفي</v>
      </c>
      <c r="C1222" s="3" t="str">
        <f>"انبار مركزي ( عمومي )"</f>
        <v>انبار مركزي ( عمومي )</v>
      </c>
      <c r="D1222" s="3" t="str">
        <f>"0206000278"</f>
        <v>0206000278</v>
      </c>
      <c r="E1222" s="3" t="str">
        <f>"بست شيلنگي 2.1/2 اينچ"</f>
        <v>بست شيلنگي 2.1/2 اينچ</v>
      </c>
      <c r="F1222" s="3" t="str">
        <f>"عدد"</f>
        <v>عدد</v>
      </c>
      <c r="G1222" s="3">
        <v>100</v>
      </c>
      <c r="H1222" s="5">
        <v>7000000</v>
      </c>
    </row>
    <row r="1223" spans="1:8" ht="18.75" x14ac:dyDescent="0.2">
      <c r="A1223" s="3" t="str">
        <f t="shared" si="153"/>
        <v>98/11/26</v>
      </c>
      <c r="B1223" s="3" t="str">
        <f t="shared" si="154"/>
        <v>كالاهاي مصرفي</v>
      </c>
      <c r="C1223" s="3" t="str">
        <f>"انبار مركزي ( عمومي )"</f>
        <v>انبار مركزي ( عمومي )</v>
      </c>
      <c r="D1223" s="3" t="str">
        <f>"0213000276"</f>
        <v>0213000276</v>
      </c>
      <c r="E1223" s="3" t="str">
        <f>"سر بكس دريلي"</f>
        <v>سر بكس دريلي</v>
      </c>
      <c r="F1223" s="3" t="str">
        <f>"عدد"</f>
        <v>عدد</v>
      </c>
      <c r="G1223" s="3">
        <v>20</v>
      </c>
      <c r="H1223" s="5">
        <v>7000000</v>
      </c>
    </row>
    <row r="1224" spans="1:8" ht="18.75" x14ac:dyDescent="0.2">
      <c r="A1224" s="3" t="str">
        <f t="shared" si="153"/>
        <v>98/11/26</v>
      </c>
      <c r="B1224" s="3" t="str">
        <f t="shared" si="154"/>
        <v>كالاهاي مصرفي</v>
      </c>
      <c r="C1224" s="3" t="str">
        <f>"انبار مصرفي ZU1"</f>
        <v>انبار مصرفي ZU1</v>
      </c>
      <c r="D1224" s="3" t="str">
        <f>"0213000470"</f>
        <v>0213000470</v>
      </c>
      <c r="E1224" s="3" t="str">
        <f>"مهره استنلس استيل M20"</f>
        <v>مهره استنلس استيل M20</v>
      </c>
      <c r="F1224" s="3" t="str">
        <f>"عدد"</f>
        <v>عدد</v>
      </c>
      <c r="G1224" s="3">
        <v>20</v>
      </c>
      <c r="H1224" s="5">
        <v>7000000</v>
      </c>
    </row>
    <row r="1225" spans="1:8" ht="18.75" x14ac:dyDescent="0.2">
      <c r="A1225" s="3" t="str">
        <f t="shared" si="153"/>
        <v>98/11/26</v>
      </c>
      <c r="B1225" s="3" t="str">
        <f t="shared" si="154"/>
        <v>كالاهاي مصرفي</v>
      </c>
      <c r="C1225" s="3" t="str">
        <f>"انبار مركزي ( عمومي )"</f>
        <v>انبار مركزي ( عمومي )</v>
      </c>
      <c r="D1225" s="3" t="str">
        <f>"0213000573"</f>
        <v>0213000573</v>
      </c>
      <c r="E1225" s="3" t="str">
        <f>"پوساب P280 معمولي"</f>
        <v>پوساب P280 معمولي</v>
      </c>
      <c r="F1225" s="3" t="str">
        <f>"برگ"</f>
        <v>برگ</v>
      </c>
      <c r="G1225" s="3">
        <v>100</v>
      </c>
      <c r="H1225" s="5">
        <v>7000000</v>
      </c>
    </row>
    <row r="1226" spans="1:8" ht="18.75" x14ac:dyDescent="0.2">
      <c r="A1226" s="3" t="str">
        <f t="shared" si="153"/>
        <v>98/11/26</v>
      </c>
      <c r="B1226" s="3" t="str">
        <f t="shared" si="154"/>
        <v>كالاهاي مصرفي</v>
      </c>
      <c r="C1226" s="3" t="str">
        <f>"انبار مصرفي ZU1"</f>
        <v>انبار مصرفي ZU1</v>
      </c>
      <c r="D1226" s="3" t="str">
        <f>"0204002412"</f>
        <v>0204002412</v>
      </c>
      <c r="E1226" s="3" t="str">
        <f>"قفل کن بيرينگ KM28"</f>
        <v>قفل کن بيرينگ KM28</v>
      </c>
      <c r="F1226" s="3" t="str">
        <f t="shared" ref="F1226:F1234" si="155">"عدد"</f>
        <v>عدد</v>
      </c>
      <c r="G1226" s="3">
        <v>2</v>
      </c>
      <c r="H1226" s="5">
        <v>7040000</v>
      </c>
    </row>
    <row r="1227" spans="1:8" ht="18.75" x14ac:dyDescent="0.2">
      <c r="A1227" s="3" t="str">
        <f t="shared" si="153"/>
        <v>98/11/26</v>
      </c>
      <c r="B1227" s="3" t="str">
        <f t="shared" si="154"/>
        <v>كالاهاي مصرفي</v>
      </c>
      <c r="C1227" s="3" t="str">
        <f>"انبار مصرفي ZU1"</f>
        <v>انبار مصرفي ZU1</v>
      </c>
      <c r="D1227" s="3" t="str">
        <f>"0601000120"</f>
        <v>0601000120</v>
      </c>
      <c r="E1227" s="3" t="str">
        <f>"عينك جوشكاري آرگون"</f>
        <v>عينك جوشكاري آرگون</v>
      </c>
      <c r="F1227" s="3" t="str">
        <f t="shared" si="155"/>
        <v>عدد</v>
      </c>
      <c r="G1227" s="3">
        <v>31</v>
      </c>
      <c r="H1227" s="5">
        <v>7046020</v>
      </c>
    </row>
    <row r="1228" spans="1:8" ht="18.75" x14ac:dyDescent="0.2">
      <c r="A1228" s="3" t="str">
        <f t="shared" si="153"/>
        <v>98/11/26</v>
      </c>
      <c r="B1228" s="3" t="str">
        <f t="shared" si="154"/>
        <v>كالاهاي مصرفي</v>
      </c>
      <c r="C1228" s="3" t="str">
        <f>"انبار مصرفي ZU1"</f>
        <v>انبار مصرفي ZU1</v>
      </c>
      <c r="D1228" s="3" t="str">
        <f>"0204001332"</f>
        <v>0204001332</v>
      </c>
      <c r="E1228" s="3" t="str">
        <f>"اورينگ HNBR 210*4.0"</f>
        <v>اورينگ HNBR 210*4.0</v>
      </c>
      <c r="F1228" s="3" t="str">
        <f t="shared" si="155"/>
        <v>عدد</v>
      </c>
      <c r="G1228" s="3">
        <v>19</v>
      </c>
      <c r="H1228" s="5">
        <v>7087000</v>
      </c>
    </row>
    <row r="1229" spans="1:8" ht="18.75" x14ac:dyDescent="0.2">
      <c r="A1229" s="3" t="str">
        <f t="shared" si="153"/>
        <v>98/11/26</v>
      </c>
      <c r="B1229" s="3" t="str">
        <f t="shared" si="154"/>
        <v>كالاهاي مصرفي</v>
      </c>
      <c r="C1229" s="3" t="str">
        <f>"انبار مصرفي ZU1"</f>
        <v>انبار مصرفي ZU1</v>
      </c>
      <c r="D1229" s="3" t="str">
        <f>"0204000524"</f>
        <v>0204000524</v>
      </c>
      <c r="E1229" s="3" t="str">
        <f>"بيرينگ K/C3-2312"</f>
        <v>بيرينگ K/C3-2312</v>
      </c>
      <c r="F1229" s="3" t="str">
        <f t="shared" si="155"/>
        <v>عدد</v>
      </c>
      <c r="G1229" s="3">
        <v>3</v>
      </c>
      <c r="H1229" s="5">
        <v>7108000</v>
      </c>
    </row>
    <row r="1230" spans="1:8" ht="18.75" x14ac:dyDescent="0.2">
      <c r="A1230" s="3" t="str">
        <f t="shared" si="153"/>
        <v>98/11/26</v>
      </c>
      <c r="B1230" s="3" t="str">
        <f t="shared" si="154"/>
        <v>كالاهاي مصرفي</v>
      </c>
      <c r="C1230" s="3" t="str">
        <f>"انبار مركزي ( عمومي )"</f>
        <v>انبار مركزي ( عمومي )</v>
      </c>
      <c r="D1230" s="3" t="str">
        <f>"0214000239"</f>
        <v>0214000239</v>
      </c>
      <c r="E1230" s="3" t="str">
        <f>"مفتول بر 200 ميل"</f>
        <v>مفتول بر 200 ميل</v>
      </c>
      <c r="F1230" s="3" t="str">
        <f t="shared" si="155"/>
        <v>عدد</v>
      </c>
      <c r="G1230" s="3">
        <v>4</v>
      </c>
      <c r="H1230" s="5">
        <v>7120000</v>
      </c>
    </row>
    <row r="1231" spans="1:8" ht="18.75" x14ac:dyDescent="0.2">
      <c r="A1231" s="3" t="str">
        <f t="shared" si="153"/>
        <v>98/11/26</v>
      </c>
      <c r="B1231" s="3" t="str">
        <f t="shared" si="154"/>
        <v>كالاهاي مصرفي</v>
      </c>
      <c r="C1231" s="3" t="str">
        <f t="shared" ref="C1231:C1245" si="156">"انبار مصرفي ZU1"</f>
        <v>انبار مصرفي ZU1</v>
      </c>
      <c r="D1231" s="3" t="str">
        <f>"0204000568"</f>
        <v>0204000568</v>
      </c>
      <c r="E1231" s="3" t="str">
        <f>"بيرينگ NU309-ECM"</f>
        <v>بيرينگ NU309-ECM</v>
      </c>
      <c r="F1231" s="3" t="str">
        <f t="shared" si="155"/>
        <v>عدد</v>
      </c>
      <c r="G1231" s="3">
        <v>1</v>
      </c>
      <c r="H1231" s="5">
        <v>7200000</v>
      </c>
    </row>
    <row r="1232" spans="1:8" ht="18.75" x14ac:dyDescent="0.2">
      <c r="A1232" s="3" t="str">
        <f t="shared" si="153"/>
        <v>98/11/26</v>
      </c>
      <c r="B1232" s="3" t="str">
        <f t="shared" si="154"/>
        <v>كالاهاي مصرفي</v>
      </c>
      <c r="C1232" s="3" t="str">
        <f t="shared" si="156"/>
        <v>انبار مصرفي ZU1</v>
      </c>
      <c r="D1232" s="3" t="str">
        <f>"0204000572"</f>
        <v>0204000572</v>
      </c>
      <c r="E1232" s="3" t="str">
        <f>"بيرينگ 51210"</f>
        <v>بيرينگ 51210</v>
      </c>
      <c r="F1232" s="3" t="str">
        <f t="shared" si="155"/>
        <v>عدد</v>
      </c>
      <c r="G1232" s="3">
        <v>8</v>
      </c>
      <c r="H1232" s="5">
        <v>7200000</v>
      </c>
    </row>
    <row r="1233" spans="1:8" ht="18.75" x14ac:dyDescent="0.2">
      <c r="A1233" s="3" t="str">
        <f t="shared" si="153"/>
        <v>98/11/26</v>
      </c>
      <c r="B1233" s="3" t="str">
        <f t="shared" si="154"/>
        <v>كالاهاي مصرفي</v>
      </c>
      <c r="C1233" s="3" t="str">
        <f t="shared" si="156"/>
        <v>انبار مصرفي ZU1</v>
      </c>
      <c r="D1233" s="3" t="str">
        <f>"0204001805"</f>
        <v>0204001805</v>
      </c>
      <c r="E1233" s="3" t="str">
        <f>"بيرينگ 51213"</f>
        <v>بيرينگ 51213</v>
      </c>
      <c r="F1233" s="3" t="str">
        <f t="shared" si="155"/>
        <v>عدد</v>
      </c>
      <c r="G1233" s="3">
        <v>6</v>
      </c>
      <c r="H1233" s="5">
        <v>7200000</v>
      </c>
    </row>
    <row r="1234" spans="1:8" ht="18.75" x14ac:dyDescent="0.2">
      <c r="A1234" s="3" t="str">
        <f t="shared" si="153"/>
        <v>98/11/26</v>
      </c>
      <c r="B1234" s="3" t="str">
        <f t="shared" si="154"/>
        <v>كالاهاي مصرفي</v>
      </c>
      <c r="C1234" s="3" t="str">
        <f t="shared" si="156"/>
        <v>انبار مصرفي ZU1</v>
      </c>
      <c r="D1234" s="3" t="str">
        <f>"0204002178"</f>
        <v>0204002178</v>
      </c>
      <c r="E1234" s="3" t="str">
        <f>"رول برينگ  32210 J2/Q"</f>
        <v>رول برينگ  32210 J2/Q</v>
      </c>
      <c r="F1234" s="3" t="str">
        <f t="shared" si="155"/>
        <v>عدد</v>
      </c>
      <c r="G1234" s="3">
        <v>3</v>
      </c>
      <c r="H1234" s="5">
        <v>7200000</v>
      </c>
    </row>
    <row r="1235" spans="1:8" ht="18.75" x14ac:dyDescent="0.2">
      <c r="A1235" s="3" t="str">
        <f t="shared" si="153"/>
        <v>98/11/26</v>
      </c>
      <c r="B1235" s="3" t="str">
        <f t="shared" si="154"/>
        <v>كالاهاي مصرفي</v>
      </c>
      <c r="C1235" s="3" t="str">
        <f t="shared" si="156"/>
        <v>انبار مصرفي ZU1</v>
      </c>
      <c r="D1235" s="3" t="str">
        <f>"0206000198"</f>
        <v>0206000198</v>
      </c>
      <c r="E1235" s="3" t="str">
        <f>"بست كمر بندي پلاستيكي 40 سانتي"</f>
        <v>بست كمر بندي پلاستيكي 40 سانتي</v>
      </c>
      <c r="F1235" s="3" t="str">
        <f>"بسته"</f>
        <v>بسته</v>
      </c>
      <c r="G1235" s="3">
        <v>12</v>
      </c>
      <c r="H1235" s="5">
        <v>7200000</v>
      </c>
    </row>
    <row r="1236" spans="1:8" ht="18.75" x14ac:dyDescent="0.2">
      <c r="A1236" s="3" t="str">
        <f t="shared" si="153"/>
        <v>98/11/26</v>
      </c>
      <c r="B1236" s="3" t="str">
        <f t="shared" si="154"/>
        <v>كالاهاي مصرفي</v>
      </c>
      <c r="C1236" s="3" t="str">
        <f t="shared" si="156"/>
        <v>انبار مصرفي ZU1</v>
      </c>
      <c r="D1236" s="3" t="str">
        <f>"0601000112"</f>
        <v>0601000112</v>
      </c>
      <c r="E1236" s="3" t="str">
        <f>"چكمه ضد اسيد"</f>
        <v>چكمه ضد اسيد</v>
      </c>
      <c r="F1236" s="3" t="str">
        <f>"جفت"</f>
        <v>جفت</v>
      </c>
      <c r="G1236" s="3">
        <v>6</v>
      </c>
      <c r="H1236" s="5">
        <v>7200000</v>
      </c>
    </row>
    <row r="1237" spans="1:8" ht="18.75" x14ac:dyDescent="0.2">
      <c r="A1237" s="3" t="str">
        <f t="shared" si="153"/>
        <v>98/11/26</v>
      </c>
      <c r="B1237" s="3" t="str">
        <f t="shared" si="154"/>
        <v>كالاهاي مصرفي</v>
      </c>
      <c r="C1237" s="3" t="str">
        <f t="shared" si="156"/>
        <v>انبار مصرفي ZU1</v>
      </c>
      <c r="D1237" s="3" t="str">
        <f>"0204002137"</f>
        <v>0204002137</v>
      </c>
      <c r="E1237" s="3" t="str">
        <f>"لرزه گير لاستيكي uw"</f>
        <v>لرزه گير لاستيكي uw</v>
      </c>
      <c r="F1237" s="3" t="str">
        <f>"عدد"</f>
        <v>عدد</v>
      </c>
      <c r="G1237" s="3">
        <v>3</v>
      </c>
      <c r="H1237" s="5">
        <v>7230000</v>
      </c>
    </row>
    <row r="1238" spans="1:8" ht="18.75" x14ac:dyDescent="0.2">
      <c r="A1238" s="3" t="str">
        <f t="shared" si="153"/>
        <v>98/11/26</v>
      </c>
      <c r="B1238" s="3" t="str">
        <f t="shared" si="154"/>
        <v>كالاهاي مصرفي</v>
      </c>
      <c r="C1238" s="3" t="str">
        <f t="shared" si="156"/>
        <v>انبار مصرفي ZU1</v>
      </c>
      <c r="D1238" s="3" t="str">
        <f>"0204000343"</f>
        <v>0204000343</v>
      </c>
      <c r="E1238" s="3" t="str">
        <f>"بيرينگ  6212-2RS"</f>
        <v>بيرينگ  6212-2RS</v>
      </c>
      <c r="F1238" s="3" t="str">
        <f>"عدد"</f>
        <v>عدد</v>
      </c>
      <c r="G1238" s="3">
        <v>10</v>
      </c>
      <c r="H1238" s="5">
        <v>7260000</v>
      </c>
    </row>
    <row r="1239" spans="1:8" ht="18.75" x14ac:dyDescent="0.2">
      <c r="A1239" s="3" t="str">
        <f t="shared" si="153"/>
        <v>98/11/26</v>
      </c>
      <c r="B1239" s="3" t="str">
        <f t="shared" si="154"/>
        <v>كالاهاي مصرفي</v>
      </c>
      <c r="C1239" s="3" t="str">
        <f t="shared" si="156"/>
        <v>انبار مصرفي ZU1</v>
      </c>
      <c r="D1239" s="3" t="str">
        <f>"0204001893"</f>
        <v>0204001893</v>
      </c>
      <c r="E1239" s="3" t="str">
        <f>"كاسه نمد Mild Steel 100*130*13 AIB"</f>
        <v>كاسه نمد Mild Steel 100*130*13 AIB</v>
      </c>
      <c r="F1239" s="3" t="str">
        <f>"عدد"</f>
        <v>عدد</v>
      </c>
      <c r="G1239" s="3">
        <v>18</v>
      </c>
      <c r="H1239" s="5">
        <v>7272000</v>
      </c>
    </row>
    <row r="1240" spans="1:8" ht="18.75" x14ac:dyDescent="0.2">
      <c r="A1240" s="3" t="str">
        <f t="shared" si="153"/>
        <v>98/11/26</v>
      </c>
      <c r="B1240" s="3" t="str">
        <f t="shared" si="154"/>
        <v>كالاهاي مصرفي</v>
      </c>
      <c r="C1240" s="3" t="str">
        <f t="shared" si="156"/>
        <v>انبار مصرفي ZU1</v>
      </c>
      <c r="D1240" s="3" t="str">
        <f>"0204002169"</f>
        <v>0204002169</v>
      </c>
      <c r="E1240" s="3" t="str">
        <f>"اورينگ NBR344 *5"</f>
        <v>اورينگ NBR344 *5</v>
      </c>
      <c r="F1240" s="3" t="str">
        <f>"عدد"</f>
        <v>عدد</v>
      </c>
      <c r="G1240" s="3">
        <v>16</v>
      </c>
      <c r="H1240" s="5">
        <v>7280000</v>
      </c>
    </row>
    <row r="1241" spans="1:8" ht="18.75" x14ac:dyDescent="0.2">
      <c r="A1241" s="3" t="str">
        <f t="shared" si="153"/>
        <v>98/11/26</v>
      </c>
      <c r="B1241" s="3" t="str">
        <f t="shared" si="154"/>
        <v>كالاهاي مصرفي</v>
      </c>
      <c r="C1241" s="3" t="str">
        <f t="shared" si="156"/>
        <v>انبار مصرفي ZU1</v>
      </c>
      <c r="D1241" s="3" t="str">
        <f>"0204002170"</f>
        <v>0204002170</v>
      </c>
      <c r="E1241" s="3" t="str">
        <f>"اورينگ NBR354*5"</f>
        <v>اورينگ NBR354*5</v>
      </c>
      <c r="F1241" s="3" t="str">
        <f>"عدد"</f>
        <v>عدد</v>
      </c>
      <c r="G1241" s="3">
        <v>16</v>
      </c>
      <c r="H1241" s="5">
        <v>7280000</v>
      </c>
    </row>
    <row r="1242" spans="1:8" ht="18.75" x14ac:dyDescent="0.2">
      <c r="A1242" s="3" t="str">
        <f t="shared" si="153"/>
        <v>98/11/26</v>
      </c>
      <c r="B1242" s="3" t="str">
        <f t="shared" si="154"/>
        <v>كالاهاي مصرفي</v>
      </c>
      <c r="C1242" s="3" t="str">
        <f t="shared" si="156"/>
        <v>انبار مصرفي ZU1</v>
      </c>
      <c r="D1242" s="3" t="str">
        <f>"0204000443"</f>
        <v>0204000443</v>
      </c>
      <c r="E1242" s="3" t="str">
        <f>"نوارلاستيكي با مقطع گرد قطر 5ميليمتر NBR"</f>
        <v>نوارلاستيكي با مقطع گرد قطر 5ميليمتر NBR</v>
      </c>
      <c r="F1242" s="3" t="str">
        <f>"متر"</f>
        <v>متر</v>
      </c>
      <c r="G1242" s="3">
        <v>858</v>
      </c>
      <c r="H1242" s="5">
        <v>7293000</v>
      </c>
    </row>
    <row r="1243" spans="1:8" ht="18.75" x14ac:dyDescent="0.2">
      <c r="A1243" s="3" t="str">
        <f t="shared" si="153"/>
        <v>98/11/26</v>
      </c>
      <c r="B1243" s="3" t="str">
        <f t="shared" si="154"/>
        <v>كالاهاي مصرفي</v>
      </c>
      <c r="C1243" s="3" t="str">
        <f t="shared" si="156"/>
        <v>انبار مصرفي ZU1</v>
      </c>
      <c r="D1243" s="3" t="str">
        <f>"0204000485"</f>
        <v>0204000485</v>
      </c>
      <c r="E1243" s="3" t="str">
        <f>"صفحات لاستيك آببندي مقاوم در مقابل مواد نفتي ضخامت 3"</f>
        <v>صفحات لاستيك آببندي مقاوم در مقابل مواد نفتي ضخامت 3</v>
      </c>
      <c r="F1243" s="3" t="str">
        <f>"کيلوگرم"</f>
        <v>کيلوگرم</v>
      </c>
      <c r="G1243" s="3">
        <v>21</v>
      </c>
      <c r="H1243" s="5">
        <v>7350000</v>
      </c>
    </row>
    <row r="1244" spans="1:8" ht="18.75" x14ac:dyDescent="0.2">
      <c r="A1244" s="3" t="str">
        <f t="shared" si="153"/>
        <v>98/11/26</v>
      </c>
      <c r="B1244" s="3" t="str">
        <f t="shared" si="154"/>
        <v>كالاهاي مصرفي</v>
      </c>
      <c r="C1244" s="3" t="str">
        <f t="shared" si="156"/>
        <v>انبار مصرفي ZU1</v>
      </c>
      <c r="D1244" s="3" t="str">
        <f>"0204000156"</f>
        <v>0204000156</v>
      </c>
      <c r="E1244" s="3" t="str">
        <f>"بيرينگ NU214-ECM/C3"</f>
        <v>بيرينگ NU214-ECM/C3</v>
      </c>
      <c r="F1244" s="3" t="str">
        <f>"عدد"</f>
        <v>عدد</v>
      </c>
      <c r="G1244" s="3">
        <v>2</v>
      </c>
      <c r="H1244" s="5">
        <v>7400000</v>
      </c>
    </row>
    <row r="1245" spans="1:8" ht="18.75" x14ac:dyDescent="0.2">
      <c r="A1245" s="3" t="str">
        <f t="shared" si="153"/>
        <v>98/11/26</v>
      </c>
      <c r="B1245" s="3" t="str">
        <f t="shared" si="154"/>
        <v>كالاهاي مصرفي</v>
      </c>
      <c r="C1245" s="3" t="str">
        <f t="shared" si="156"/>
        <v>انبار مصرفي ZU1</v>
      </c>
      <c r="D1245" s="3" t="str">
        <f>"0204001900"</f>
        <v>0204001900</v>
      </c>
      <c r="E1245" s="3" t="str">
        <f>"تسمه پروانه SPB 2240"</f>
        <v>تسمه پروانه SPB 2240</v>
      </c>
      <c r="F1245" s="3" t="str">
        <f>"حلقه"</f>
        <v>حلقه</v>
      </c>
      <c r="G1245" s="3">
        <v>12</v>
      </c>
      <c r="H1245" s="5">
        <v>7440000</v>
      </c>
    </row>
    <row r="1246" spans="1:8" ht="18.75" x14ac:dyDescent="0.2">
      <c r="A1246" s="3" t="str">
        <f t="shared" si="153"/>
        <v>98/11/26</v>
      </c>
      <c r="B1246" s="3" t="str">
        <f t="shared" si="154"/>
        <v>كالاهاي مصرفي</v>
      </c>
      <c r="C1246" s="3" t="str">
        <f>"انبار مركزي ( عمومي )"</f>
        <v>انبار مركزي ( عمومي )</v>
      </c>
      <c r="D1246" s="3" t="str">
        <f>"0213000774"</f>
        <v>0213000774</v>
      </c>
      <c r="E1246" s="3" t="str">
        <f>"مته آهن نمره 5"</f>
        <v>مته آهن نمره 5</v>
      </c>
      <c r="F1246" s="3" t="str">
        <f>"عدد"</f>
        <v>عدد</v>
      </c>
      <c r="G1246" s="3">
        <v>109</v>
      </c>
      <c r="H1246" s="5">
        <v>7457500</v>
      </c>
    </row>
    <row r="1247" spans="1:8" ht="18.75" x14ac:dyDescent="0.2">
      <c r="A1247" s="3" t="str">
        <f t="shared" si="153"/>
        <v>98/11/26</v>
      </c>
      <c r="B1247" s="3" t="str">
        <f t="shared" si="154"/>
        <v>كالاهاي مصرفي</v>
      </c>
      <c r="C1247" s="3" t="str">
        <f>"انبار مصرفي ZU1"</f>
        <v>انبار مصرفي ZU1</v>
      </c>
      <c r="D1247" s="3" t="str">
        <f>"0106000215"</f>
        <v>0106000215</v>
      </c>
      <c r="E1247" s="3" t="str">
        <f>"گريس گيربكس Litol 24"</f>
        <v>گريس گيربكس Litol 24</v>
      </c>
      <c r="F1247" s="3" t="str">
        <f>"کيلوگرم"</f>
        <v>کيلوگرم</v>
      </c>
      <c r="G1247" s="3">
        <v>18</v>
      </c>
      <c r="H1247" s="5">
        <v>7500000</v>
      </c>
    </row>
    <row r="1248" spans="1:8" ht="18.75" x14ac:dyDescent="0.2">
      <c r="A1248" s="3" t="str">
        <f t="shared" si="153"/>
        <v>98/11/26</v>
      </c>
      <c r="B1248" s="3" t="str">
        <f t="shared" si="154"/>
        <v>كالاهاي مصرفي</v>
      </c>
      <c r="C1248" s="3" t="str">
        <f>"انبار مصرفي ZU1"</f>
        <v>انبار مصرفي ZU1</v>
      </c>
      <c r="D1248" s="3" t="str">
        <f>"0204000249"</f>
        <v>0204000249</v>
      </c>
      <c r="E1248" s="3" t="str">
        <f>"پكينگ آبندي فشاري 12 *12 نخ گرافيت كنف دار"</f>
        <v>پكينگ آبندي فشاري 12 *12 نخ گرافيت كنف دار</v>
      </c>
      <c r="F1248" s="3" t="str">
        <f>"کيلوگرم"</f>
        <v>کيلوگرم</v>
      </c>
      <c r="G1248" s="3">
        <v>30</v>
      </c>
      <c r="H1248" s="5">
        <v>7500000</v>
      </c>
    </row>
    <row r="1249" spans="1:8" ht="18.75" x14ac:dyDescent="0.2">
      <c r="A1249" s="3" t="str">
        <f t="shared" si="153"/>
        <v>98/11/26</v>
      </c>
      <c r="B1249" s="3" t="str">
        <f t="shared" si="154"/>
        <v>كالاهاي مصرفي</v>
      </c>
      <c r="C1249" s="3" t="str">
        <f>"انبار مصرفي ZU1"</f>
        <v>انبار مصرفي ZU1</v>
      </c>
      <c r="D1249" s="3" t="str">
        <f>"0204000250"</f>
        <v>0204000250</v>
      </c>
      <c r="E1249" s="3" t="str">
        <f>"پكينگ آبندي فشاري 14 *14 نخ گرافيت كنف دار"</f>
        <v>پكينگ آبندي فشاري 14 *14 نخ گرافيت كنف دار</v>
      </c>
      <c r="F1249" s="3" t="str">
        <f>"کيلوگرم"</f>
        <v>کيلوگرم</v>
      </c>
      <c r="G1249" s="3">
        <v>30</v>
      </c>
      <c r="H1249" s="5">
        <v>7500000</v>
      </c>
    </row>
    <row r="1250" spans="1:8" ht="18.75" x14ac:dyDescent="0.2">
      <c r="A1250" s="3" t="str">
        <f t="shared" si="153"/>
        <v>98/11/26</v>
      </c>
      <c r="B1250" s="3" t="str">
        <f t="shared" si="154"/>
        <v>كالاهاي مصرفي</v>
      </c>
      <c r="C1250" s="3" t="str">
        <f>"انبار مصرفي ZU1"</f>
        <v>انبار مصرفي ZU1</v>
      </c>
      <c r="D1250" s="3" t="str">
        <f>"0204001948"</f>
        <v>0204001948</v>
      </c>
      <c r="E1250" s="3" t="str">
        <f>"واشر آببندي اسپيرال SWG 1A-1-354*334*4.8"</f>
        <v>واشر آببندي اسپيرال SWG 1A-1-354*334*4.8</v>
      </c>
      <c r="F1250" s="3" t="str">
        <f>"عدد"</f>
        <v>عدد</v>
      </c>
      <c r="G1250" s="3">
        <v>10</v>
      </c>
      <c r="H1250" s="5">
        <v>7500000</v>
      </c>
    </row>
    <row r="1251" spans="1:8" ht="18.75" x14ac:dyDescent="0.2">
      <c r="A1251" s="3" t="str">
        <f t="shared" si="153"/>
        <v>98/11/26</v>
      </c>
      <c r="B1251" s="3" t="str">
        <f t="shared" si="154"/>
        <v>كالاهاي مصرفي</v>
      </c>
      <c r="C1251" s="3" t="str">
        <f>"انبار مركزي ( عمومي )"</f>
        <v>انبار مركزي ( عمومي )</v>
      </c>
      <c r="D1251" s="3" t="str">
        <f>"0206000659"</f>
        <v>0206000659</v>
      </c>
      <c r="E1251" s="3" t="str">
        <f>"بست شيلنگي 4 اينچ"</f>
        <v>بست شيلنگي 4 اينچ</v>
      </c>
      <c r="F1251" s="3" t="str">
        <f>"عدد"</f>
        <v>عدد</v>
      </c>
      <c r="G1251" s="3">
        <v>100</v>
      </c>
      <c r="H1251" s="5">
        <v>7500000</v>
      </c>
    </row>
    <row r="1252" spans="1:8" ht="18.75" x14ac:dyDescent="0.2">
      <c r="A1252" s="3" t="str">
        <f t="shared" si="153"/>
        <v>98/11/26</v>
      </c>
      <c r="B1252" s="3" t="str">
        <f t="shared" si="154"/>
        <v>كالاهاي مصرفي</v>
      </c>
      <c r="C1252" s="3" t="str">
        <f>"انبار مركزي ( عمومي )"</f>
        <v>انبار مركزي ( عمومي )</v>
      </c>
      <c r="D1252" s="3" t="str">
        <f>"0213000602"</f>
        <v>0213000602</v>
      </c>
      <c r="E1252" s="3" t="str">
        <f>"تيغه لوله بر دستي"</f>
        <v>تيغه لوله بر دستي</v>
      </c>
      <c r="F1252" s="3" t="str">
        <f>"دست"</f>
        <v>دست</v>
      </c>
      <c r="G1252" s="3">
        <v>15</v>
      </c>
      <c r="H1252" s="5">
        <v>7500000</v>
      </c>
    </row>
    <row r="1253" spans="1:8" ht="18.75" x14ac:dyDescent="0.2">
      <c r="A1253" s="3" t="str">
        <f t="shared" si="153"/>
        <v>98/11/26</v>
      </c>
      <c r="B1253" s="3" t="str">
        <f t="shared" si="154"/>
        <v>كالاهاي مصرفي</v>
      </c>
      <c r="C1253" s="3" t="str">
        <f>"انبار مصرفي ZU1"</f>
        <v>انبار مصرفي ZU1</v>
      </c>
      <c r="D1253" s="3" t="str">
        <f>"0213000161"</f>
        <v>0213000161</v>
      </c>
      <c r="E1253" s="3" t="str">
        <f>"پيچ دو سر رزوه M20*120"</f>
        <v>پيچ دو سر رزوه M20*120</v>
      </c>
      <c r="F1253" s="3" t="str">
        <f t="shared" ref="F1253:F1266" si="157">"عدد"</f>
        <v>عدد</v>
      </c>
      <c r="G1253" s="3">
        <v>209</v>
      </c>
      <c r="H1253" s="5">
        <v>7524000</v>
      </c>
    </row>
    <row r="1254" spans="1:8" ht="18.75" x14ac:dyDescent="0.2">
      <c r="A1254" s="3" t="str">
        <f t="shared" si="153"/>
        <v>98/11/26</v>
      </c>
      <c r="B1254" s="3" t="str">
        <f t="shared" si="154"/>
        <v>كالاهاي مصرفي</v>
      </c>
      <c r="C1254" s="3" t="str">
        <f>"انبار مصرفي ZU1"</f>
        <v>انبار مصرفي ZU1</v>
      </c>
      <c r="D1254" s="3" t="str">
        <f>"0204001376"</f>
        <v>0204001376</v>
      </c>
      <c r="E1254" s="3" t="str">
        <f>"اورينگ HNBR 253*4"</f>
        <v>اورينگ HNBR 253*4</v>
      </c>
      <c r="F1254" s="3" t="str">
        <f t="shared" si="157"/>
        <v>عدد</v>
      </c>
      <c r="G1254" s="3">
        <v>17</v>
      </c>
      <c r="H1254" s="5">
        <v>7531000</v>
      </c>
    </row>
    <row r="1255" spans="1:8" ht="18.75" x14ac:dyDescent="0.2">
      <c r="A1255" s="3" t="str">
        <f t="shared" si="153"/>
        <v>98/11/26</v>
      </c>
      <c r="B1255" s="3" t="str">
        <f t="shared" si="154"/>
        <v>كالاهاي مصرفي</v>
      </c>
      <c r="C1255" s="3" t="str">
        <f>"انبار مصرفي ZU1"</f>
        <v>انبار مصرفي ZU1</v>
      </c>
      <c r="D1255" s="3" t="str">
        <f>"0204000828"</f>
        <v>0204000828</v>
      </c>
      <c r="E1255" s="3" t="str">
        <f>"واشر اورينگ رزينيNBR 180( -2) X4"</f>
        <v>واشر اورينگ رزينيNBR 180( -2) X4</v>
      </c>
      <c r="F1255" s="3" t="str">
        <f t="shared" si="157"/>
        <v>عدد</v>
      </c>
      <c r="G1255" s="3">
        <v>20</v>
      </c>
      <c r="H1255" s="5">
        <v>7560000</v>
      </c>
    </row>
    <row r="1256" spans="1:8" ht="18.75" x14ac:dyDescent="0.2">
      <c r="A1256" s="3" t="str">
        <f t="shared" si="153"/>
        <v>98/11/26</v>
      </c>
      <c r="B1256" s="3" t="str">
        <f t="shared" si="154"/>
        <v>كالاهاي مصرفي</v>
      </c>
      <c r="C1256" s="3" t="str">
        <f>"انبار مركزي ( عمومي )"</f>
        <v>انبار مركزي ( عمومي )</v>
      </c>
      <c r="D1256" s="3" t="str">
        <f>"0105000126"</f>
        <v>0105000126</v>
      </c>
      <c r="E1256" s="3" t="str">
        <f>"اسپري دستگاه خوشبوكننده اتوماتيك هوا"</f>
        <v>اسپري دستگاه خوشبوكننده اتوماتيك هوا</v>
      </c>
      <c r="F1256" s="3" t="str">
        <f t="shared" si="157"/>
        <v>عدد</v>
      </c>
      <c r="G1256" s="3">
        <v>36</v>
      </c>
      <c r="H1256" s="5">
        <v>7600000</v>
      </c>
    </row>
    <row r="1257" spans="1:8" ht="18.75" x14ac:dyDescent="0.2">
      <c r="A1257" s="3" t="str">
        <f t="shared" si="153"/>
        <v>98/11/26</v>
      </c>
      <c r="B1257" s="3" t="str">
        <f t="shared" si="154"/>
        <v>كالاهاي مصرفي</v>
      </c>
      <c r="C1257" s="3" t="str">
        <f>"انبار مصرفي ZU1"</f>
        <v>انبار مصرفي ZU1</v>
      </c>
      <c r="D1257" s="3" t="str">
        <f>"0105000171"</f>
        <v>0105000171</v>
      </c>
      <c r="E1257" s="3" t="str">
        <f>"ثابت کننده رزوه ( Loctate 270 )"</f>
        <v>ثابت کننده رزوه ( Loctate 270 )</v>
      </c>
      <c r="F1257" s="3" t="str">
        <f t="shared" si="157"/>
        <v>عدد</v>
      </c>
      <c r="G1257" s="3">
        <v>2</v>
      </c>
      <c r="H1257" s="5">
        <v>7600000</v>
      </c>
    </row>
    <row r="1258" spans="1:8" ht="18.75" x14ac:dyDescent="0.2">
      <c r="A1258" s="3" t="str">
        <f t="shared" si="153"/>
        <v>98/11/26</v>
      </c>
      <c r="B1258" s="3" t="str">
        <f t="shared" si="154"/>
        <v>كالاهاي مصرفي</v>
      </c>
      <c r="C1258" s="3" t="str">
        <f>"انبار مركزي ( عمومي )"</f>
        <v>انبار مركزي ( عمومي )</v>
      </c>
      <c r="D1258" s="3" t="str">
        <f>"0209000249"</f>
        <v>0209000249</v>
      </c>
      <c r="E1258" s="3" t="str">
        <f>"حفاظ پشت فن دوقلو"</f>
        <v>حفاظ پشت فن دوقلو</v>
      </c>
      <c r="F1258" s="3" t="str">
        <f t="shared" si="157"/>
        <v>عدد</v>
      </c>
      <c r="G1258" s="3">
        <v>4</v>
      </c>
      <c r="H1258" s="5">
        <v>7600000</v>
      </c>
    </row>
    <row r="1259" spans="1:8" ht="18.75" x14ac:dyDescent="0.2">
      <c r="A1259" s="3" t="str">
        <f t="shared" si="153"/>
        <v>98/11/26</v>
      </c>
      <c r="B1259" s="3" t="str">
        <f t="shared" si="154"/>
        <v>كالاهاي مصرفي</v>
      </c>
      <c r="C1259" s="3" t="str">
        <f>"انبار مصرفي ZU1"</f>
        <v>انبار مصرفي ZU1</v>
      </c>
      <c r="D1259" s="3" t="str">
        <f>"0101000022"</f>
        <v>0101000022</v>
      </c>
      <c r="E1259" s="3" t="str">
        <f>"برس رنگ 4 اينچ"</f>
        <v>برس رنگ 4 اينچ</v>
      </c>
      <c r="F1259" s="3" t="str">
        <f t="shared" si="157"/>
        <v>عدد</v>
      </c>
      <c r="G1259" s="3">
        <v>80</v>
      </c>
      <c r="H1259" s="5">
        <v>7607061</v>
      </c>
    </row>
    <row r="1260" spans="1:8" ht="18.75" x14ac:dyDescent="0.2">
      <c r="A1260" s="3" t="str">
        <f t="shared" si="153"/>
        <v>98/11/26</v>
      </c>
      <c r="B1260" s="3" t="str">
        <f t="shared" si="154"/>
        <v>كالاهاي مصرفي</v>
      </c>
      <c r="C1260" s="3" t="str">
        <f>"انبار مصرفي ZU1"</f>
        <v>انبار مصرفي ZU1</v>
      </c>
      <c r="D1260" s="3" t="str">
        <f>"0204000346"</f>
        <v>0204000346</v>
      </c>
      <c r="E1260" s="3" t="str">
        <f>"بيرينگ NU2312"</f>
        <v>بيرينگ NU2312</v>
      </c>
      <c r="F1260" s="3" t="str">
        <f t="shared" si="157"/>
        <v>عدد</v>
      </c>
      <c r="G1260" s="3">
        <v>2</v>
      </c>
      <c r="H1260" s="5">
        <v>7614000</v>
      </c>
    </row>
    <row r="1261" spans="1:8" ht="18.75" x14ac:dyDescent="0.2">
      <c r="A1261" s="3" t="str">
        <f t="shared" si="153"/>
        <v>98/11/26</v>
      </c>
      <c r="B1261" s="3" t="str">
        <f t="shared" si="154"/>
        <v>كالاهاي مصرفي</v>
      </c>
      <c r="C1261" s="3" t="str">
        <f>"انبار مصرفي ZU1"</f>
        <v>انبار مصرفي ZU1</v>
      </c>
      <c r="D1261" s="3" t="str">
        <f>"0204001081"</f>
        <v>0204001081</v>
      </c>
      <c r="E1261" s="3" t="str">
        <f>"بيرينگ NU 2212 ECJ"</f>
        <v>بيرينگ NU 2212 ECJ</v>
      </c>
      <c r="F1261" s="3" t="str">
        <f t="shared" si="157"/>
        <v>عدد</v>
      </c>
      <c r="G1261" s="3">
        <v>3</v>
      </c>
      <c r="H1261" s="5">
        <v>7620000</v>
      </c>
    </row>
    <row r="1262" spans="1:8" ht="18.75" x14ac:dyDescent="0.2">
      <c r="A1262" s="3" t="str">
        <f t="shared" si="153"/>
        <v>98/11/26</v>
      </c>
      <c r="B1262" s="3" t="str">
        <f t="shared" si="154"/>
        <v>كالاهاي مصرفي</v>
      </c>
      <c r="C1262" s="3" t="str">
        <f>"انبار مركزي ( عمومي )"</f>
        <v>انبار مركزي ( عمومي )</v>
      </c>
      <c r="D1262" s="3" t="str">
        <f>"0206000165"</f>
        <v>0206000165</v>
      </c>
      <c r="E1262" s="3" t="str">
        <f>"فلوتر الکترونيکي شيوا امواج LMB-2M"</f>
        <v>فلوتر الکترونيکي شيوا امواج LMB-2M</v>
      </c>
      <c r="F1262" s="3" t="str">
        <f t="shared" si="157"/>
        <v>عدد</v>
      </c>
      <c r="G1262" s="3">
        <v>4</v>
      </c>
      <c r="H1262" s="5">
        <v>7696000</v>
      </c>
    </row>
    <row r="1263" spans="1:8" ht="18.75" x14ac:dyDescent="0.2">
      <c r="A1263" s="3" t="str">
        <f t="shared" si="153"/>
        <v>98/11/26</v>
      </c>
      <c r="B1263" s="3" t="str">
        <f t="shared" si="154"/>
        <v>كالاهاي مصرفي</v>
      </c>
      <c r="C1263" s="3" t="str">
        <f>"انبار مصرفي ZU1"</f>
        <v>انبار مصرفي ZU1</v>
      </c>
      <c r="D1263" s="3" t="str">
        <f>"0203000041"</f>
        <v>0203000041</v>
      </c>
      <c r="E1263" s="3" t="str">
        <f>"آچار انبر چند كاره 250 ميل"</f>
        <v>آچار انبر چند كاره 250 ميل</v>
      </c>
      <c r="F1263" s="3" t="str">
        <f t="shared" si="157"/>
        <v>عدد</v>
      </c>
      <c r="G1263" s="3">
        <v>6</v>
      </c>
      <c r="H1263" s="5">
        <v>7740000</v>
      </c>
    </row>
    <row r="1264" spans="1:8" ht="18.75" x14ac:dyDescent="0.2">
      <c r="A1264" s="3" t="str">
        <f t="shared" si="153"/>
        <v>98/11/26</v>
      </c>
      <c r="B1264" s="3" t="str">
        <f t="shared" si="154"/>
        <v>كالاهاي مصرفي</v>
      </c>
      <c r="C1264" s="3" t="str">
        <f>"انبار مصرفي ZU1"</f>
        <v>انبار مصرفي ZU1</v>
      </c>
      <c r="D1264" s="3" t="str">
        <f>"0213000224"</f>
        <v>0213000224</v>
      </c>
      <c r="E1264" s="3" t="str">
        <f>"مهره M28"</f>
        <v>مهره M28</v>
      </c>
      <c r="F1264" s="3" t="str">
        <f t="shared" si="157"/>
        <v>عدد</v>
      </c>
      <c r="G1264" s="3">
        <v>282</v>
      </c>
      <c r="H1264" s="5">
        <v>7744407</v>
      </c>
    </row>
    <row r="1265" spans="1:8" ht="18.75" x14ac:dyDescent="0.2">
      <c r="A1265" s="3" t="str">
        <f t="shared" si="153"/>
        <v>98/11/26</v>
      </c>
      <c r="B1265" s="3" t="str">
        <f t="shared" si="154"/>
        <v>كالاهاي مصرفي</v>
      </c>
      <c r="C1265" s="3" t="str">
        <f>"انبار مصرفي ZU1"</f>
        <v>انبار مصرفي ZU1</v>
      </c>
      <c r="D1265" s="3" t="str">
        <f>"0204000716"</f>
        <v>0204000716</v>
      </c>
      <c r="E1265" s="3" t="str">
        <f>"كاسه نمد Mild Steel 80*100*10 AIB"</f>
        <v>كاسه نمد Mild Steel 80*100*10 AIB</v>
      </c>
      <c r="F1265" s="3" t="str">
        <f t="shared" si="157"/>
        <v>عدد</v>
      </c>
      <c r="G1265" s="3">
        <v>50</v>
      </c>
      <c r="H1265" s="5">
        <v>7750000</v>
      </c>
    </row>
    <row r="1266" spans="1:8" ht="18.75" x14ac:dyDescent="0.2">
      <c r="A1266" s="3" t="str">
        <f t="shared" si="153"/>
        <v>98/11/26</v>
      </c>
      <c r="B1266" s="3" t="str">
        <f t="shared" si="154"/>
        <v>كالاهاي مصرفي</v>
      </c>
      <c r="C1266" s="3" t="str">
        <f>"انبار مركزي ( عمومي )"</f>
        <v>انبار مركزي ( عمومي )</v>
      </c>
      <c r="D1266" s="3" t="str">
        <f>"0206000416"</f>
        <v>0206000416</v>
      </c>
      <c r="E1266" s="3" t="str">
        <f>"زانو پرسي نيو پايپ 1/2*16"</f>
        <v>زانو پرسي نيو پايپ 1/2*16</v>
      </c>
      <c r="F1266" s="3" t="str">
        <f t="shared" si="157"/>
        <v>عدد</v>
      </c>
      <c r="G1266" s="3">
        <v>25</v>
      </c>
      <c r="H1266" s="5">
        <v>7750000</v>
      </c>
    </row>
    <row r="1267" spans="1:8" ht="18.75" x14ac:dyDescent="0.2">
      <c r="A1267" s="3" t="str">
        <f t="shared" si="153"/>
        <v>98/11/26</v>
      </c>
      <c r="B1267" s="3" t="str">
        <f t="shared" si="154"/>
        <v>كالاهاي مصرفي</v>
      </c>
      <c r="C1267" s="3" t="str">
        <f t="shared" ref="C1267:C1272" si="158">"انبار مصرفي ZU1"</f>
        <v>انبار مصرفي ZU1</v>
      </c>
      <c r="D1267" s="3" t="str">
        <f>"0204001761"</f>
        <v>0204001761</v>
      </c>
      <c r="E1267" s="3" t="str">
        <f>"اورينگ وايتون ضخامت 4 ميليمتر"</f>
        <v>اورينگ وايتون ضخامت 4 ميليمتر</v>
      </c>
      <c r="F1267" s="3" t="str">
        <f>"متر"</f>
        <v>متر</v>
      </c>
      <c r="G1267" s="3">
        <v>20</v>
      </c>
      <c r="H1267" s="5">
        <v>7760000</v>
      </c>
    </row>
    <row r="1268" spans="1:8" ht="18.75" x14ac:dyDescent="0.2">
      <c r="A1268" s="3" t="str">
        <f t="shared" si="153"/>
        <v>98/11/26</v>
      </c>
      <c r="B1268" s="3" t="str">
        <f t="shared" si="154"/>
        <v>كالاهاي مصرفي</v>
      </c>
      <c r="C1268" s="3" t="str">
        <f t="shared" si="158"/>
        <v>انبار مصرفي ZU1</v>
      </c>
      <c r="D1268" s="3" t="str">
        <f>"0204001353"</f>
        <v>0204001353</v>
      </c>
      <c r="E1268" s="3" t="str">
        <f>"اورينگ HNBR 200*5.3"</f>
        <v>اورينگ HNBR 200*5.3</v>
      </c>
      <c r="F1268" s="3" t="str">
        <f>"عدد"</f>
        <v>عدد</v>
      </c>
      <c r="G1268" s="3">
        <v>19</v>
      </c>
      <c r="H1268" s="5">
        <v>7790000</v>
      </c>
    </row>
    <row r="1269" spans="1:8" ht="18.75" x14ac:dyDescent="0.2">
      <c r="A1269" s="3" t="str">
        <f t="shared" si="153"/>
        <v>98/11/26</v>
      </c>
      <c r="B1269" s="3" t="str">
        <f t="shared" si="154"/>
        <v>كالاهاي مصرفي</v>
      </c>
      <c r="C1269" s="3" t="str">
        <f t="shared" si="158"/>
        <v>انبار مصرفي ZU1</v>
      </c>
      <c r="D1269" s="3" t="str">
        <f>"0204001289"</f>
        <v>0204001289</v>
      </c>
      <c r="E1269" s="3" t="str">
        <f>"كوپلر هيدروليك 1/4 اينچ"</f>
        <v>كوپلر هيدروليك 1/4 اينچ</v>
      </c>
      <c r="F1269" s="3" t="str">
        <f>"عدد"</f>
        <v>عدد</v>
      </c>
      <c r="G1269" s="3">
        <v>4</v>
      </c>
      <c r="H1269" s="5">
        <v>7800000</v>
      </c>
    </row>
    <row r="1270" spans="1:8" ht="18.75" x14ac:dyDescent="0.2">
      <c r="A1270" s="3" t="str">
        <f t="shared" si="153"/>
        <v>98/11/26</v>
      </c>
      <c r="B1270" s="3" t="str">
        <f t="shared" si="154"/>
        <v>كالاهاي مصرفي</v>
      </c>
      <c r="C1270" s="3" t="str">
        <f t="shared" si="158"/>
        <v>انبار مصرفي ZU1</v>
      </c>
      <c r="D1270" s="3" t="str">
        <f>"0206000489"</f>
        <v>0206000489</v>
      </c>
      <c r="E1270" s="3" t="str">
        <f>"شير انبساط پكيچ (اکسپکشن والو)"</f>
        <v>شير انبساط پكيچ (اکسپکشن والو)</v>
      </c>
      <c r="F1270" s="3" t="str">
        <f>"عدد"</f>
        <v>عدد</v>
      </c>
      <c r="G1270" s="3">
        <v>4</v>
      </c>
      <c r="H1270" s="5">
        <v>7800000</v>
      </c>
    </row>
    <row r="1271" spans="1:8" ht="18.75" x14ac:dyDescent="0.2">
      <c r="A1271" s="3" t="str">
        <f t="shared" si="153"/>
        <v>98/11/26</v>
      </c>
      <c r="B1271" s="3" t="str">
        <f t="shared" si="154"/>
        <v>كالاهاي مصرفي</v>
      </c>
      <c r="C1271" s="3" t="str">
        <f t="shared" si="158"/>
        <v>انبار مصرفي ZU1</v>
      </c>
      <c r="D1271" s="3" t="str">
        <f>"0204000315"</f>
        <v>0204000315</v>
      </c>
      <c r="E1271" s="3" t="str">
        <f>"كاسه نمد 15*220*190"</f>
        <v>كاسه نمد 15*220*190</v>
      </c>
      <c r="F1271" s="3" t="str">
        <f>"عدد"</f>
        <v>عدد</v>
      </c>
      <c r="G1271" s="3">
        <v>6</v>
      </c>
      <c r="H1271" s="5">
        <v>7815000</v>
      </c>
    </row>
    <row r="1272" spans="1:8" ht="18.75" x14ac:dyDescent="0.2">
      <c r="A1272" s="3" t="str">
        <f t="shared" si="153"/>
        <v>98/11/26</v>
      </c>
      <c r="B1272" s="3" t="str">
        <f t="shared" si="154"/>
        <v>كالاهاي مصرفي</v>
      </c>
      <c r="C1272" s="3" t="str">
        <f t="shared" si="158"/>
        <v>انبار مصرفي ZU1</v>
      </c>
      <c r="D1272" s="3" t="str">
        <f>"0204000652"</f>
        <v>0204000652</v>
      </c>
      <c r="E1272" s="3" t="str">
        <f>"كاسه نمد Mild Steel 120*110*15 AIB"</f>
        <v>كاسه نمد Mild Steel 120*110*15 AIB</v>
      </c>
      <c r="F1272" s="3" t="str">
        <f>"عدد"</f>
        <v>عدد</v>
      </c>
      <c r="G1272" s="3">
        <v>20</v>
      </c>
      <c r="H1272" s="5">
        <v>7840000</v>
      </c>
    </row>
    <row r="1273" spans="1:8" ht="18.75" x14ac:dyDescent="0.2">
      <c r="A1273" s="3" t="str">
        <f t="shared" si="153"/>
        <v>98/11/26</v>
      </c>
      <c r="B1273" s="3" t="str">
        <f t="shared" si="154"/>
        <v>كالاهاي مصرفي</v>
      </c>
      <c r="C1273" s="3" t="str">
        <f>"انبار مركزي ( عمومي )"</f>
        <v>انبار مركزي ( عمومي )</v>
      </c>
      <c r="D1273" s="3" t="str">
        <f>"0907000014"</f>
        <v>0907000014</v>
      </c>
      <c r="E1273" s="3" t="str">
        <f>"Printer Switch 2 Port"</f>
        <v>Printer Switch 2 Port</v>
      </c>
      <c r="F1273" s="3" t="str">
        <f>"دستگاه"</f>
        <v>دستگاه</v>
      </c>
      <c r="G1273" s="3">
        <v>7</v>
      </c>
      <c r="H1273" s="5">
        <v>7840000</v>
      </c>
    </row>
    <row r="1274" spans="1:8" ht="18.75" x14ac:dyDescent="0.2">
      <c r="A1274" s="3" t="str">
        <f t="shared" si="153"/>
        <v>98/11/26</v>
      </c>
      <c r="B1274" s="3" t="str">
        <f t="shared" si="154"/>
        <v>كالاهاي مصرفي</v>
      </c>
      <c r="C1274" s="3" t="str">
        <f>"انبار مصرفي ZU1"</f>
        <v>انبار مصرفي ZU1</v>
      </c>
      <c r="D1274" s="3" t="str">
        <f>"0204001683"</f>
        <v>0204001683</v>
      </c>
      <c r="E1274" s="3" t="str">
        <f>"اورينگ HNBR 345*5.8"</f>
        <v>اورينگ HNBR 345*5.8</v>
      </c>
      <c r="F1274" s="3" t="str">
        <f>"عدد"</f>
        <v>عدد</v>
      </c>
      <c r="G1274" s="3">
        <v>10</v>
      </c>
      <c r="H1274" s="5">
        <v>7852500</v>
      </c>
    </row>
    <row r="1275" spans="1:8" ht="18.75" x14ac:dyDescent="0.2">
      <c r="A1275" s="3" t="str">
        <f t="shared" si="153"/>
        <v>98/11/26</v>
      </c>
      <c r="B1275" s="3" t="str">
        <f t="shared" si="154"/>
        <v>كالاهاي مصرفي</v>
      </c>
      <c r="C1275" s="3" t="str">
        <f>"انبار مركزي ( عمومي )"</f>
        <v>انبار مركزي ( عمومي )</v>
      </c>
      <c r="D1275" s="3" t="str">
        <f>"0211001661"</f>
        <v>0211001661</v>
      </c>
      <c r="E1275" s="3" t="str">
        <f>"باطري نيم قلمي قابل شارژ (AAA )"</f>
        <v>باطري نيم قلمي قابل شارژ (AAA )</v>
      </c>
      <c r="F1275" s="3" t="str">
        <f>"عدد"</f>
        <v>عدد</v>
      </c>
      <c r="G1275" s="3">
        <v>38</v>
      </c>
      <c r="H1275" s="5">
        <v>7862613</v>
      </c>
    </row>
    <row r="1276" spans="1:8" ht="18.75" x14ac:dyDescent="0.2">
      <c r="A1276" s="3" t="str">
        <f t="shared" si="153"/>
        <v>98/11/26</v>
      </c>
      <c r="B1276" s="3" t="str">
        <f t="shared" si="154"/>
        <v>كالاهاي مصرفي</v>
      </c>
      <c r="C1276" s="3" t="str">
        <f t="shared" ref="C1276:C1284" si="159">"انبار مصرفي ZU1"</f>
        <v>انبار مصرفي ZU1</v>
      </c>
      <c r="D1276" s="3" t="str">
        <f>"0103000117"</f>
        <v>0103000117</v>
      </c>
      <c r="E1276" s="3" t="str">
        <f>"گليسيرين"</f>
        <v>گليسيرين</v>
      </c>
      <c r="F1276" s="3" t="str">
        <f>"ليتر"</f>
        <v>ليتر</v>
      </c>
      <c r="G1276" s="3">
        <v>30</v>
      </c>
      <c r="H1276" s="5">
        <v>7866668</v>
      </c>
    </row>
    <row r="1277" spans="1:8" ht="18.75" x14ac:dyDescent="0.2">
      <c r="A1277" s="3" t="str">
        <f t="shared" si="153"/>
        <v>98/11/26</v>
      </c>
      <c r="B1277" s="3" t="str">
        <f t="shared" si="154"/>
        <v>كالاهاي مصرفي</v>
      </c>
      <c r="C1277" s="3" t="str">
        <f t="shared" si="159"/>
        <v>انبار مصرفي ZU1</v>
      </c>
      <c r="D1277" s="3" t="str">
        <f>"0204001303"</f>
        <v>0204001303</v>
      </c>
      <c r="E1277" s="3" t="str">
        <f>"اورينگ HNBR 270*5.8"</f>
        <v>اورينگ HNBR 270*5.8</v>
      </c>
      <c r="F1277" s="3" t="str">
        <f t="shared" ref="F1277:F1283" si="160">"عدد"</f>
        <v>عدد</v>
      </c>
      <c r="G1277" s="3">
        <v>19</v>
      </c>
      <c r="H1277" s="5">
        <v>7885000</v>
      </c>
    </row>
    <row r="1278" spans="1:8" ht="18.75" x14ac:dyDescent="0.2">
      <c r="A1278" s="3" t="str">
        <f t="shared" si="153"/>
        <v>98/11/26</v>
      </c>
      <c r="B1278" s="3" t="str">
        <f t="shared" si="154"/>
        <v>كالاهاي مصرفي</v>
      </c>
      <c r="C1278" s="3" t="str">
        <f t="shared" si="159"/>
        <v>انبار مصرفي ZU1</v>
      </c>
      <c r="D1278" s="3" t="str">
        <f>"0204001674"</f>
        <v>0204001674</v>
      </c>
      <c r="E1278" s="3" t="str">
        <f>"اورينگ HNBR 130*3.5"</f>
        <v>اورينگ HNBR 130*3.5</v>
      </c>
      <c r="F1278" s="3" t="str">
        <f t="shared" si="160"/>
        <v>عدد</v>
      </c>
      <c r="G1278" s="3">
        <v>20</v>
      </c>
      <c r="H1278" s="5">
        <v>7887500</v>
      </c>
    </row>
    <row r="1279" spans="1:8" ht="18.75" x14ac:dyDescent="0.2">
      <c r="A1279" s="3" t="str">
        <f t="shared" si="153"/>
        <v>98/11/26</v>
      </c>
      <c r="B1279" s="3" t="str">
        <f t="shared" si="154"/>
        <v>كالاهاي مصرفي</v>
      </c>
      <c r="C1279" s="3" t="str">
        <f t="shared" si="159"/>
        <v>انبار مصرفي ZU1</v>
      </c>
      <c r="D1279" s="3" t="str">
        <f>"0204001358"</f>
        <v>0204001358</v>
      </c>
      <c r="E1279" s="3" t="str">
        <f>"اورينگ HNBR 315*4.0"</f>
        <v>اورينگ HNBR 315*4.0</v>
      </c>
      <c r="F1279" s="3" t="str">
        <f t="shared" si="160"/>
        <v>عدد</v>
      </c>
      <c r="G1279" s="3">
        <v>20</v>
      </c>
      <c r="H1279" s="5">
        <v>7920000</v>
      </c>
    </row>
    <row r="1280" spans="1:8" ht="18.75" x14ac:dyDescent="0.2">
      <c r="A1280" s="3" t="str">
        <f t="shared" si="153"/>
        <v>98/11/26</v>
      </c>
      <c r="B1280" s="3" t="str">
        <f t="shared" si="154"/>
        <v>كالاهاي مصرفي</v>
      </c>
      <c r="C1280" s="3" t="str">
        <f t="shared" si="159"/>
        <v>انبار مصرفي ZU1</v>
      </c>
      <c r="D1280" s="3" t="str">
        <f>"0204001384"</f>
        <v>0204001384</v>
      </c>
      <c r="E1280" s="3" t="str">
        <f>"اورينگ HNBR 137*4"</f>
        <v>اورينگ HNBR 137*4</v>
      </c>
      <c r="F1280" s="3" t="str">
        <f t="shared" si="160"/>
        <v>عدد</v>
      </c>
      <c r="G1280" s="3">
        <v>20</v>
      </c>
      <c r="H1280" s="5">
        <v>7920000</v>
      </c>
    </row>
    <row r="1281" spans="1:8" ht="18.75" x14ac:dyDescent="0.2">
      <c r="A1281" s="3" t="str">
        <f t="shared" si="153"/>
        <v>98/11/26</v>
      </c>
      <c r="B1281" s="3" t="str">
        <f t="shared" si="154"/>
        <v>كالاهاي مصرفي</v>
      </c>
      <c r="C1281" s="3" t="str">
        <f t="shared" si="159"/>
        <v>انبار مصرفي ZU1</v>
      </c>
      <c r="D1281" s="3" t="str">
        <f>"0204001349"</f>
        <v>0204001349</v>
      </c>
      <c r="E1281" s="3" t="str">
        <f>"اورينگ HNBR 282*4.0"</f>
        <v>اورينگ HNBR 282*4.0</v>
      </c>
      <c r="F1281" s="3" t="str">
        <f t="shared" si="160"/>
        <v>عدد</v>
      </c>
      <c r="G1281" s="3">
        <v>17</v>
      </c>
      <c r="H1281" s="5">
        <v>7922000</v>
      </c>
    </row>
    <row r="1282" spans="1:8" ht="18.75" x14ac:dyDescent="0.2">
      <c r="A1282" s="3" t="str">
        <f t="shared" ref="A1282:A1345" si="161">"98/11/26"</f>
        <v>98/11/26</v>
      </c>
      <c r="B1282" s="3" t="str">
        <f t="shared" ref="B1282:B1345" si="162">"كالاهاي مصرفي"</f>
        <v>كالاهاي مصرفي</v>
      </c>
      <c r="C1282" s="3" t="str">
        <f t="shared" si="159"/>
        <v>انبار مصرفي ZU1</v>
      </c>
      <c r="D1282" s="3" t="str">
        <f>"0213000434"</f>
        <v>0213000434</v>
      </c>
      <c r="E1282" s="3" t="str">
        <f>"پيچ گوشواره اي M20*6"</f>
        <v>پيچ گوشواره اي M20*6</v>
      </c>
      <c r="F1282" s="3" t="str">
        <f t="shared" si="160"/>
        <v>عدد</v>
      </c>
      <c r="G1282" s="3">
        <v>75</v>
      </c>
      <c r="H1282" s="5">
        <v>7981071</v>
      </c>
    </row>
    <row r="1283" spans="1:8" ht="18.75" x14ac:dyDescent="0.2">
      <c r="A1283" s="3" t="str">
        <f t="shared" si="161"/>
        <v>98/11/26</v>
      </c>
      <c r="B1283" s="3" t="str">
        <f t="shared" si="162"/>
        <v>كالاهاي مصرفي</v>
      </c>
      <c r="C1283" s="3" t="str">
        <f t="shared" si="159"/>
        <v>انبار مصرفي ZU1</v>
      </c>
      <c r="D1283" s="3" t="str">
        <f>"0211001232"</f>
        <v>0211001232</v>
      </c>
      <c r="E1283" s="3" t="str">
        <f>"باطري قلمي (AA )"</f>
        <v>باطري قلمي (AA )</v>
      </c>
      <c r="F1283" s="3" t="str">
        <f t="shared" si="160"/>
        <v>عدد</v>
      </c>
      <c r="G1283" s="3">
        <v>97</v>
      </c>
      <c r="H1283" s="5">
        <v>7988237</v>
      </c>
    </row>
    <row r="1284" spans="1:8" ht="18.75" x14ac:dyDescent="0.2">
      <c r="A1284" s="3" t="str">
        <f t="shared" si="161"/>
        <v>98/11/26</v>
      </c>
      <c r="B1284" s="3" t="str">
        <f t="shared" si="162"/>
        <v>كالاهاي مصرفي</v>
      </c>
      <c r="C1284" s="3" t="str">
        <f t="shared" si="159"/>
        <v>انبار مصرفي ZU1</v>
      </c>
      <c r="D1284" s="3" t="str">
        <f>"0102000110"</f>
        <v>0102000110</v>
      </c>
      <c r="E1284" s="3" t="str">
        <f>"رنگ روغني طوسي"</f>
        <v>رنگ روغني طوسي</v>
      </c>
      <c r="F1284" s="3" t="str">
        <f>"کيلوگرم"</f>
        <v>کيلوگرم</v>
      </c>
      <c r="G1284" s="3">
        <v>50</v>
      </c>
      <c r="H1284" s="5">
        <v>8000000</v>
      </c>
    </row>
    <row r="1285" spans="1:8" ht="18.75" x14ac:dyDescent="0.2">
      <c r="A1285" s="3" t="str">
        <f t="shared" si="161"/>
        <v>98/11/26</v>
      </c>
      <c r="B1285" s="3" t="str">
        <f t="shared" si="162"/>
        <v>كالاهاي مصرفي</v>
      </c>
      <c r="C1285" s="3" t="str">
        <f>"انبار مركزي ( عمومي )"</f>
        <v>انبار مركزي ( عمومي )</v>
      </c>
      <c r="D1285" s="3" t="str">
        <f>"0203000022"</f>
        <v>0203000022</v>
      </c>
      <c r="E1285" s="3" t="str">
        <f>"پيچ گوشتي ترمينالي"</f>
        <v>پيچ گوشتي ترمينالي</v>
      </c>
      <c r="F1285" s="3" t="str">
        <f>"عدد"</f>
        <v>عدد</v>
      </c>
      <c r="G1285" s="3">
        <v>100</v>
      </c>
      <c r="H1285" s="5">
        <v>8000000</v>
      </c>
    </row>
    <row r="1286" spans="1:8" ht="18.75" x14ac:dyDescent="0.2">
      <c r="A1286" s="3" t="str">
        <f t="shared" si="161"/>
        <v>98/11/26</v>
      </c>
      <c r="B1286" s="3" t="str">
        <f t="shared" si="162"/>
        <v>كالاهاي مصرفي</v>
      </c>
      <c r="C1286" s="3" t="str">
        <f>"انبار مصرفي ZU1"</f>
        <v>انبار مصرفي ZU1</v>
      </c>
      <c r="D1286" s="3" t="str">
        <f>"0204002215"</f>
        <v>0204002215</v>
      </c>
      <c r="E1286" s="3" t="str">
        <f>"بيرينگ 6215"</f>
        <v>بيرينگ 6215</v>
      </c>
      <c r="F1286" s="3" t="str">
        <f>"عدد"</f>
        <v>عدد</v>
      </c>
      <c r="G1286" s="3">
        <v>2</v>
      </c>
      <c r="H1286" s="5">
        <v>8000000</v>
      </c>
    </row>
    <row r="1287" spans="1:8" ht="18.75" x14ac:dyDescent="0.2">
      <c r="A1287" s="3" t="str">
        <f t="shared" si="161"/>
        <v>98/11/26</v>
      </c>
      <c r="B1287" s="3" t="str">
        <f t="shared" si="162"/>
        <v>كالاهاي مصرفي</v>
      </c>
      <c r="C1287" s="3" t="str">
        <f>"انبار مركزي ( عمومي )"</f>
        <v>انبار مركزي ( عمومي )</v>
      </c>
      <c r="D1287" s="3" t="str">
        <f>"0211002255"</f>
        <v>0211002255</v>
      </c>
      <c r="E1287" s="3" t="str">
        <f>"كاور برزنتي در ابعاد مختلف"</f>
        <v>كاور برزنتي در ابعاد مختلف</v>
      </c>
      <c r="F1287" s="3" t="str">
        <f>"متر مربع"</f>
        <v>متر مربع</v>
      </c>
      <c r="G1287" s="3">
        <v>2</v>
      </c>
      <c r="H1287" s="5">
        <v>8000000</v>
      </c>
    </row>
    <row r="1288" spans="1:8" ht="18.75" x14ac:dyDescent="0.2">
      <c r="A1288" s="3" t="str">
        <f t="shared" si="161"/>
        <v>98/11/26</v>
      </c>
      <c r="B1288" s="3" t="str">
        <f t="shared" si="162"/>
        <v>كالاهاي مصرفي</v>
      </c>
      <c r="C1288" s="3" t="str">
        <f>"انبار مصرفي ZU1"</f>
        <v>انبار مصرفي ZU1</v>
      </c>
      <c r="D1288" s="3" t="str">
        <f>"0213000106"</f>
        <v>0213000106</v>
      </c>
      <c r="E1288" s="3" t="str">
        <f>"پيچ كربن استيل M24*150"</f>
        <v>پيچ كربن استيل M24*150</v>
      </c>
      <c r="F1288" s="3" t="str">
        <f>"عدد"</f>
        <v>عدد</v>
      </c>
      <c r="G1288" s="3">
        <v>72</v>
      </c>
      <c r="H1288" s="5">
        <v>8001210</v>
      </c>
    </row>
    <row r="1289" spans="1:8" ht="18.75" x14ac:dyDescent="0.2">
      <c r="A1289" s="3" t="str">
        <f t="shared" si="161"/>
        <v>98/11/26</v>
      </c>
      <c r="B1289" s="3" t="str">
        <f t="shared" si="162"/>
        <v>كالاهاي مصرفي</v>
      </c>
      <c r="C1289" s="3" t="str">
        <f>"انبار مصرفي ZU1"</f>
        <v>انبار مصرفي ZU1</v>
      </c>
      <c r="D1289" s="3" t="str">
        <f>"0204001394"</f>
        <v>0204001394</v>
      </c>
      <c r="E1289" s="3" t="str">
        <f>"اورينگ HNBR 60*2"</f>
        <v>اورينگ HNBR 60*2</v>
      </c>
      <c r="F1289" s="3" t="str">
        <f>"عدد"</f>
        <v>عدد</v>
      </c>
      <c r="G1289" s="3">
        <v>50</v>
      </c>
      <c r="H1289" s="5">
        <v>8012500</v>
      </c>
    </row>
    <row r="1290" spans="1:8" ht="18.75" x14ac:dyDescent="0.2">
      <c r="A1290" s="3" t="str">
        <f t="shared" si="161"/>
        <v>98/11/26</v>
      </c>
      <c r="B1290" s="3" t="str">
        <f t="shared" si="162"/>
        <v>كالاهاي مصرفي</v>
      </c>
      <c r="C1290" s="3" t="str">
        <f>"انبار مصرفي ZU1"</f>
        <v>انبار مصرفي ZU1</v>
      </c>
      <c r="D1290" s="3" t="str">
        <f>"0204000578"</f>
        <v>0204000578</v>
      </c>
      <c r="E1290" s="3" t="str">
        <f>"بيرينگ -NJ206-EW"</f>
        <v>بيرينگ -NJ206-EW</v>
      </c>
      <c r="F1290" s="3" t="str">
        <f>"عدد"</f>
        <v>عدد</v>
      </c>
      <c r="G1290" s="3">
        <v>12</v>
      </c>
      <c r="H1290" s="5">
        <v>8040000</v>
      </c>
    </row>
    <row r="1291" spans="1:8" ht="18.75" x14ac:dyDescent="0.2">
      <c r="A1291" s="3" t="str">
        <f t="shared" si="161"/>
        <v>98/11/26</v>
      </c>
      <c r="B1291" s="3" t="str">
        <f t="shared" si="162"/>
        <v>كالاهاي مصرفي</v>
      </c>
      <c r="C1291" s="3" t="str">
        <f>"انبار مصرفي ZU1"</f>
        <v>انبار مصرفي ZU1</v>
      </c>
      <c r="D1291" s="3" t="str">
        <f>"0204002340"</f>
        <v>0204002340</v>
      </c>
      <c r="E1291" s="3" t="str">
        <f>"اورينگ 190.09*3.53 Viton"</f>
        <v>اورينگ 190.09*3.53 Viton</v>
      </c>
      <c r="F1291" s="3" t="str">
        <f>"عدد"</f>
        <v>عدد</v>
      </c>
      <c r="G1291" s="3">
        <v>7</v>
      </c>
      <c r="H1291" s="5">
        <v>8064000</v>
      </c>
    </row>
    <row r="1292" spans="1:8" ht="18.75" x14ac:dyDescent="0.2">
      <c r="A1292" s="3" t="str">
        <f t="shared" si="161"/>
        <v>98/11/26</v>
      </c>
      <c r="B1292" s="3" t="str">
        <f t="shared" si="162"/>
        <v>كالاهاي مصرفي</v>
      </c>
      <c r="C1292" s="3" t="str">
        <f>"انبار مركزي ( عمومي )"</f>
        <v>انبار مركزي ( عمومي )</v>
      </c>
      <c r="D1292" s="3" t="str">
        <f>"0206000759"</f>
        <v>0206000759</v>
      </c>
      <c r="E1292" s="3" t="str">
        <f>"شير اطمينان 3/4"</f>
        <v>شير اطمينان 3/4</v>
      </c>
      <c r="F1292" s="3" t="str">
        <f>"عدد"</f>
        <v>عدد</v>
      </c>
      <c r="G1292" s="3">
        <v>50</v>
      </c>
      <c r="H1292" s="5">
        <v>8071429</v>
      </c>
    </row>
    <row r="1293" spans="1:8" ht="18.75" x14ac:dyDescent="0.2">
      <c r="A1293" s="3" t="str">
        <f t="shared" si="161"/>
        <v>98/11/26</v>
      </c>
      <c r="B1293" s="3" t="str">
        <f t="shared" si="162"/>
        <v>كالاهاي مصرفي</v>
      </c>
      <c r="C1293" s="3" t="str">
        <f>"انبار مركزي ( عمومي )"</f>
        <v>انبار مركزي ( عمومي )</v>
      </c>
      <c r="D1293" s="3" t="str">
        <f>"0103000325"</f>
        <v>0103000325</v>
      </c>
      <c r="E1293" s="3" t="str">
        <f>"اتيل استات"</f>
        <v>اتيل استات</v>
      </c>
      <c r="F1293" s="3" t="str">
        <f>"ليتر"</f>
        <v>ليتر</v>
      </c>
      <c r="G1293" s="3">
        <v>6</v>
      </c>
      <c r="H1293" s="5">
        <v>8100000</v>
      </c>
    </row>
    <row r="1294" spans="1:8" ht="18.75" x14ac:dyDescent="0.2">
      <c r="A1294" s="3" t="str">
        <f t="shared" si="161"/>
        <v>98/11/26</v>
      </c>
      <c r="B1294" s="3" t="str">
        <f t="shared" si="162"/>
        <v>كالاهاي مصرفي</v>
      </c>
      <c r="C1294" s="3" t="str">
        <f>"انبار مصرفي ZU1"</f>
        <v>انبار مصرفي ZU1</v>
      </c>
      <c r="D1294" s="3" t="str">
        <f>"0211001717"</f>
        <v>0211001717</v>
      </c>
      <c r="E1294" s="3" t="str">
        <f>"شيم پليت ضخامت 0/05 به ابعاد 200 *200"</f>
        <v>شيم پليت ضخامت 0/05 به ابعاد 200 *200</v>
      </c>
      <c r="F1294" s="3" t="str">
        <f>"عدد"</f>
        <v>عدد</v>
      </c>
      <c r="G1294" s="3">
        <v>43</v>
      </c>
      <c r="H1294" s="5">
        <v>8127844</v>
      </c>
    </row>
    <row r="1295" spans="1:8" ht="18.75" x14ac:dyDescent="0.2">
      <c r="A1295" s="3" t="str">
        <f t="shared" si="161"/>
        <v>98/11/26</v>
      </c>
      <c r="B1295" s="3" t="str">
        <f t="shared" si="162"/>
        <v>كالاهاي مصرفي</v>
      </c>
      <c r="C1295" s="3" t="str">
        <f>"انبار مصرفي ZU1"</f>
        <v>انبار مصرفي ZU1</v>
      </c>
      <c r="D1295" s="3" t="str">
        <f>"0204001667"</f>
        <v>0204001667</v>
      </c>
      <c r="E1295" s="3" t="str">
        <f>"اورينگ HNBR 125*3"</f>
        <v>اورينگ HNBR 125*3</v>
      </c>
      <c r="F1295" s="3" t="str">
        <f>"عدد"</f>
        <v>عدد</v>
      </c>
      <c r="G1295" s="3">
        <v>27</v>
      </c>
      <c r="H1295" s="5">
        <v>8154000</v>
      </c>
    </row>
    <row r="1296" spans="1:8" ht="18.75" x14ac:dyDescent="0.2">
      <c r="A1296" s="3" t="str">
        <f t="shared" si="161"/>
        <v>98/11/26</v>
      </c>
      <c r="B1296" s="3" t="str">
        <f t="shared" si="162"/>
        <v>كالاهاي مصرفي</v>
      </c>
      <c r="C1296" s="3" t="str">
        <f>"انبار مصرفي ZU1"</f>
        <v>انبار مصرفي ZU1</v>
      </c>
      <c r="D1296" s="3" t="str">
        <f>"0207000056"</f>
        <v>0207000056</v>
      </c>
      <c r="E1296" s="3" t="str">
        <f>"شيلنگ برزنتي 2.5 اينچ"</f>
        <v>شيلنگ برزنتي 2.5 اينچ</v>
      </c>
      <c r="F1296" s="3" t="str">
        <f>"متر"</f>
        <v>متر</v>
      </c>
      <c r="G1296" s="3">
        <v>60</v>
      </c>
      <c r="H1296" s="5">
        <v>8160000</v>
      </c>
    </row>
    <row r="1297" spans="1:8" ht="18.75" x14ac:dyDescent="0.2">
      <c r="A1297" s="3" t="str">
        <f t="shared" si="161"/>
        <v>98/11/26</v>
      </c>
      <c r="B1297" s="3" t="str">
        <f t="shared" si="162"/>
        <v>كالاهاي مصرفي</v>
      </c>
      <c r="C1297" s="3" t="str">
        <f>"انبار مركزي ( عمومي )"</f>
        <v>انبار مركزي ( عمومي )</v>
      </c>
      <c r="D1297" s="3" t="str">
        <f>"0213000776"</f>
        <v>0213000776</v>
      </c>
      <c r="E1297" s="3" t="str">
        <f>"مته آهن نمره 8"</f>
        <v>مته آهن نمره 8</v>
      </c>
      <c r="F1297" s="3" t="str">
        <f t="shared" ref="F1297:F1310" si="163">"عدد"</f>
        <v>عدد</v>
      </c>
      <c r="G1297" s="3">
        <v>76</v>
      </c>
      <c r="H1297" s="5">
        <v>8174518</v>
      </c>
    </row>
    <row r="1298" spans="1:8" ht="18.75" x14ac:dyDescent="0.2">
      <c r="A1298" s="3" t="str">
        <f t="shared" si="161"/>
        <v>98/11/26</v>
      </c>
      <c r="B1298" s="3" t="str">
        <f t="shared" si="162"/>
        <v>كالاهاي مصرفي</v>
      </c>
      <c r="C1298" s="3" t="str">
        <f>"انبار مصرفي ZU1"</f>
        <v>انبار مصرفي ZU1</v>
      </c>
      <c r="D1298" s="3" t="str">
        <f>"0213000213"</f>
        <v>0213000213</v>
      </c>
      <c r="E1298" s="3" t="str">
        <f>"پيچ دوسر رزوه M22*120"</f>
        <v>پيچ دوسر رزوه M22*120</v>
      </c>
      <c r="F1298" s="3" t="str">
        <f t="shared" si="163"/>
        <v>عدد</v>
      </c>
      <c r="G1298" s="3">
        <v>96</v>
      </c>
      <c r="H1298" s="5">
        <v>8184000</v>
      </c>
    </row>
    <row r="1299" spans="1:8" ht="18.75" x14ac:dyDescent="0.2">
      <c r="A1299" s="3" t="str">
        <f t="shared" si="161"/>
        <v>98/11/26</v>
      </c>
      <c r="B1299" s="3" t="str">
        <f t="shared" si="162"/>
        <v>كالاهاي مصرفي</v>
      </c>
      <c r="C1299" s="3" t="str">
        <f>"انبار مصرفي ZU1"</f>
        <v>انبار مصرفي ZU1</v>
      </c>
      <c r="D1299" s="3" t="str">
        <f>"0204002168"</f>
        <v>0204002168</v>
      </c>
      <c r="E1299" s="3" t="str">
        <f>"اورينگ NBR344 *4.5"</f>
        <v>اورينگ NBR344 *4.5</v>
      </c>
      <c r="F1299" s="3" t="str">
        <f t="shared" si="163"/>
        <v>عدد</v>
      </c>
      <c r="G1299" s="3">
        <v>18</v>
      </c>
      <c r="H1299" s="5">
        <v>8190000</v>
      </c>
    </row>
    <row r="1300" spans="1:8" ht="18.75" x14ac:dyDescent="0.2">
      <c r="A1300" s="3" t="str">
        <f t="shared" si="161"/>
        <v>98/11/26</v>
      </c>
      <c r="B1300" s="3" t="str">
        <f t="shared" si="162"/>
        <v>كالاهاي مصرفي</v>
      </c>
      <c r="C1300" s="3" t="str">
        <f>"انبار مصرفي ZU1"</f>
        <v>انبار مصرفي ZU1</v>
      </c>
      <c r="D1300" s="3" t="str">
        <f>"0211001714"</f>
        <v>0211001714</v>
      </c>
      <c r="E1300" s="3" t="str">
        <f>"شيم پليت ضخامت 0/05 به ابعاد 75 *75"</f>
        <v>شيم پليت ضخامت 0/05 به ابعاد 75 *75</v>
      </c>
      <c r="F1300" s="3" t="str">
        <f t="shared" si="163"/>
        <v>عدد</v>
      </c>
      <c r="G1300" s="3">
        <v>60</v>
      </c>
      <c r="H1300" s="5">
        <v>8190000</v>
      </c>
    </row>
    <row r="1301" spans="1:8" ht="18.75" x14ac:dyDescent="0.2">
      <c r="A1301" s="3" t="str">
        <f t="shared" si="161"/>
        <v>98/11/26</v>
      </c>
      <c r="B1301" s="3" t="str">
        <f t="shared" si="162"/>
        <v>كالاهاي مصرفي</v>
      </c>
      <c r="C1301" s="3" t="str">
        <f>"انبار مركزي ( عمومي )"</f>
        <v>انبار مركزي ( عمومي )</v>
      </c>
      <c r="D1301" s="3" t="str">
        <f>"0202000120"</f>
        <v>0202000120</v>
      </c>
      <c r="E1301" s="3" t="str">
        <f>"كليد دو پل روكار مخصوص داكت"</f>
        <v>كليد دو پل روكار مخصوص داكت</v>
      </c>
      <c r="F1301" s="3" t="str">
        <f t="shared" si="163"/>
        <v>عدد</v>
      </c>
      <c r="G1301" s="3">
        <v>22</v>
      </c>
      <c r="H1301" s="5">
        <v>8282262</v>
      </c>
    </row>
    <row r="1302" spans="1:8" ht="18.75" x14ac:dyDescent="0.2">
      <c r="A1302" s="3" t="str">
        <f t="shared" si="161"/>
        <v>98/11/26</v>
      </c>
      <c r="B1302" s="3" t="str">
        <f t="shared" si="162"/>
        <v>كالاهاي مصرفي</v>
      </c>
      <c r="C1302" s="3" t="str">
        <f>"انبار مصرفي ZU1"</f>
        <v>انبار مصرفي ZU1</v>
      </c>
      <c r="D1302" s="3" t="str">
        <f>"0204001348"</f>
        <v>0204001348</v>
      </c>
      <c r="E1302" s="3" t="str">
        <f>"اورينگ HNBR 180*8.0"</f>
        <v>اورينگ HNBR 180*8.0</v>
      </c>
      <c r="F1302" s="3" t="str">
        <f t="shared" si="163"/>
        <v>عدد</v>
      </c>
      <c r="G1302" s="3">
        <v>20</v>
      </c>
      <c r="H1302" s="5">
        <v>8300000</v>
      </c>
    </row>
    <row r="1303" spans="1:8" ht="18.75" x14ac:dyDescent="0.2">
      <c r="A1303" s="3" t="str">
        <f t="shared" si="161"/>
        <v>98/11/26</v>
      </c>
      <c r="B1303" s="3" t="str">
        <f t="shared" si="162"/>
        <v>كالاهاي مصرفي</v>
      </c>
      <c r="C1303" s="3" t="str">
        <f>"انبار مصرفي ZU1"</f>
        <v>انبار مصرفي ZU1</v>
      </c>
      <c r="D1303" s="3" t="str">
        <f>"0203000129"</f>
        <v>0203000129</v>
      </c>
      <c r="E1303" s="3" t="str">
        <f>"آچارفرانسه18 اينچ ( 450mm )"</f>
        <v>آچارفرانسه18 اينچ ( 450mm )</v>
      </c>
      <c r="F1303" s="3" t="str">
        <f t="shared" si="163"/>
        <v>عدد</v>
      </c>
      <c r="G1303" s="3">
        <v>5</v>
      </c>
      <c r="H1303" s="5">
        <v>8333333</v>
      </c>
    </row>
    <row r="1304" spans="1:8" ht="18.75" x14ac:dyDescent="0.2">
      <c r="A1304" s="3" t="str">
        <f t="shared" si="161"/>
        <v>98/11/26</v>
      </c>
      <c r="B1304" s="3" t="str">
        <f t="shared" si="162"/>
        <v>كالاهاي مصرفي</v>
      </c>
      <c r="C1304" s="3" t="str">
        <f>"انبار مصرفي ZU1"</f>
        <v>انبار مصرفي ZU1</v>
      </c>
      <c r="D1304" s="3" t="str">
        <f>"0204001381"</f>
        <v>0204001381</v>
      </c>
      <c r="E1304" s="3" t="str">
        <f>"اورينگ HNBR 218*5"</f>
        <v>اورينگ HNBR 218*5</v>
      </c>
      <c r="F1304" s="3" t="str">
        <f t="shared" si="163"/>
        <v>عدد</v>
      </c>
      <c r="G1304" s="3">
        <v>20</v>
      </c>
      <c r="H1304" s="5">
        <v>8380000</v>
      </c>
    </row>
    <row r="1305" spans="1:8" ht="18.75" x14ac:dyDescent="0.2">
      <c r="A1305" s="3" t="str">
        <f t="shared" si="161"/>
        <v>98/11/26</v>
      </c>
      <c r="B1305" s="3" t="str">
        <f t="shared" si="162"/>
        <v>كالاهاي مصرفي</v>
      </c>
      <c r="C1305" s="3" t="str">
        <f>"انبار مركزي ( عمومي )"</f>
        <v>انبار مركزي ( عمومي )</v>
      </c>
      <c r="D1305" s="3" t="str">
        <f>"0214000328"</f>
        <v>0214000328</v>
      </c>
      <c r="E1305" s="3" t="str">
        <f>"قفل آويز نمره 50"</f>
        <v>قفل آويز نمره 50</v>
      </c>
      <c r="F1305" s="3" t="str">
        <f t="shared" si="163"/>
        <v>عدد</v>
      </c>
      <c r="G1305" s="3">
        <v>14</v>
      </c>
      <c r="H1305" s="5">
        <v>8400000</v>
      </c>
    </row>
    <row r="1306" spans="1:8" ht="18.75" x14ac:dyDescent="0.2">
      <c r="A1306" s="3" t="str">
        <f t="shared" si="161"/>
        <v>98/11/26</v>
      </c>
      <c r="B1306" s="3" t="str">
        <f t="shared" si="162"/>
        <v>كالاهاي مصرفي</v>
      </c>
      <c r="C1306" s="3" t="str">
        <f>"انبار مركزي ( عمومي )"</f>
        <v>انبار مركزي ( عمومي )</v>
      </c>
      <c r="D1306" s="3" t="str">
        <f>"0107000021"</f>
        <v>0107000021</v>
      </c>
      <c r="E1306" s="3" t="str">
        <f>"صابون حمام"</f>
        <v>صابون حمام</v>
      </c>
      <c r="F1306" s="3" t="str">
        <f t="shared" si="163"/>
        <v>عدد</v>
      </c>
      <c r="G1306" s="3">
        <v>98</v>
      </c>
      <c r="H1306" s="5">
        <v>8425428</v>
      </c>
    </row>
    <row r="1307" spans="1:8" ht="18.75" x14ac:dyDescent="0.2">
      <c r="A1307" s="3" t="str">
        <f t="shared" si="161"/>
        <v>98/11/26</v>
      </c>
      <c r="B1307" s="3" t="str">
        <f t="shared" si="162"/>
        <v>كالاهاي مصرفي</v>
      </c>
      <c r="C1307" s="3" t="str">
        <f>"انبار مصرفي ZU1"</f>
        <v>انبار مصرفي ZU1</v>
      </c>
      <c r="D1307" s="3" t="str">
        <f>"0213000472"</f>
        <v>0213000472</v>
      </c>
      <c r="E1307" s="3" t="str">
        <f>"مهره استنلس استيل M24"</f>
        <v>مهره استنلس استيل M24</v>
      </c>
      <c r="F1307" s="3" t="str">
        <f t="shared" si="163"/>
        <v>عدد</v>
      </c>
      <c r="G1307" s="3">
        <v>187</v>
      </c>
      <c r="H1307" s="5">
        <v>8433700</v>
      </c>
    </row>
    <row r="1308" spans="1:8" ht="18.75" x14ac:dyDescent="0.2">
      <c r="A1308" s="3" t="str">
        <f t="shared" si="161"/>
        <v>98/11/26</v>
      </c>
      <c r="B1308" s="3" t="str">
        <f t="shared" si="162"/>
        <v>كالاهاي مصرفي</v>
      </c>
      <c r="C1308" s="3" t="str">
        <f>"انبار مصرفي ZU1"</f>
        <v>انبار مصرفي ZU1</v>
      </c>
      <c r="D1308" s="3" t="str">
        <f>"0105000038"</f>
        <v>0105000038</v>
      </c>
      <c r="E1308" s="3" t="str">
        <f>"اسپري مگنوفلاكسMT  WCP -2"</f>
        <v>اسپري مگنوفلاكسMT  WCP -2</v>
      </c>
      <c r="F1308" s="3" t="str">
        <f t="shared" si="163"/>
        <v>عدد</v>
      </c>
      <c r="G1308" s="3">
        <v>10</v>
      </c>
      <c r="H1308" s="5">
        <v>8500000</v>
      </c>
    </row>
    <row r="1309" spans="1:8" ht="18.75" x14ac:dyDescent="0.2">
      <c r="A1309" s="3" t="str">
        <f t="shared" si="161"/>
        <v>98/11/26</v>
      </c>
      <c r="B1309" s="3" t="str">
        <f t="shared" si="162"/>
        <v>كالاهاي مصرفي</v>
      </c>
      <c r="C1309" s="3" t="str">
        <f>"انبار مصرفي ZU1"</f>
        <v>انبار مصرفي ZU1</v>
      </c>
      <c r="D1309" s="3" t="str">
        <f>"0204001946"</f>
        <v>0204001946</v>
      </c>
      <c r="E1309" s="3" t="str">
        <f>"واشر آببندي گرافيتي مسلح 192*172*2"</f>
        <v>واشر آببندي گرافيتي مسلح 192*172*2</v>
      </c>
      <c r="F1309" s="3" t="str">
        <f t="shared" si="163"/>
        <v>عدد</v>
      </c>
      <c r="G1309" s="3">
        <v>10</v>
      </c>
      <c r="H1309" s="5">
        <v>8500000</v>
      </c>
    </row>
    <row r="1310" spans="1:8" ht="18.75" x14ac:dyDescent="0.2">
      <c r="A1310" s="3" t="str">
        <f t="shared" si="161"/>
        <v>98/11/26</v>
      </c>
      <c r="B1310" s="3" t="str">
        <f t="shared" si="162"/>
        <v>كالاهاي مصرفي</v>
      </c>
      <c r="C1310" s="3" t="str">
        <f>"انبار مركزي ( عمومي )"</f>
        <v>انبار مركزي ( عمومي )</v>
      </c>
      <c r="D1310" s="3" t="str">
        <f>"0213001099"</f>
        <v>0213001099</v>
      </c>
      <c r="E1310" s="3" t="str">
        <f>"مته آهن نمره 14"</f>
        <v>مته آهن نمره 14</v>
      </c>
      <c r="F1310" s="3" t="str">
        <f t="shared" si="163"/>
        <v>عدد</v>
      </c>
      <c r="G1310" s="3">
        <v>10</v>
      </c>
      <c r="H1310" s="5">
        <v>8500000</v>
      </c>
    </row>
    <row r="1311" spans="1:8" ht="18.75" x14ac:dyDescent="0.2">
      <c r="A1311" s="3" t="str">
        <f t="shared" si="161"/>
        <v>98/11/26</v>
      </c>
      <c r="B1311" s="3" t="str">
        <f t="shared" si="162"/>
        <v>كالاهاي مصرفي</v>
      </c>
      <c r="C1311" s="3" t="str">
        <f>"انبار مصرفي ZU1"</f>
        <v>انبار مصرفي ZU1</v>
      </c>
      <c r="D1311" s="3" t="str">
        <f>"0203000139"</f>
        <v>0203000139</v>
      </c>
      <c r="E1311" s="3" t="str">
        <f>"پيچ گوشتي( دو سو )ست كامل"</f>
        <v>پيچ گوشتي( دو سو )ست كامل</v>
      </c>
      <c r="F1311" s="3" t="str">
        <f>"سري"</f>
        <v>سري</v>
      </c>
      <c r="G1311" s="3">
        <v>14</v>
      </c>
      <c r="H1311" s="5">
        <v>8580727</v>
      </c>
    </row>
    <row r="1312" spans="1:8" ht="18.75" x14ac:dyDescent="0.2">
      <c r="A1312" s="3" t="str">
        <f t="shared" si="161"/>
        <v>98/11/26</v>
      </c>
      <c r="B1312" s="3" t="str">
        <f t="shared" si="162"/>
        <v>كالاهاي مصرفي</v>
      </c>
      <c r="C1312" s="3" t="str">
        <f>"انبار مصرفي ZU1"</f>
        <v>انبار مصرفي ZU1</v>
      </c>
      <c r="D1312" s="3" t="str">
        <f>"0204001971"</f>
        <v>0204001971</v>
      </c>
      <c r="E1312" s="3" t="str">
        <f>"بوش چدني با قطر داخلي 250 و قطر خارجي 270 و ارتفاع 62 ميليمتر"</f>
        <v>بوش چدني با قطر داخلي 250 و قطر خارجي 270 و ارتفاع 62 ميليمتر</v>
      </c>
      <c r="F1312" s="3" t="str">
        <f>"عدد"</f>
        <v>عدد</v>
      </c>
      <c r="G1312" s="3">
        <v>2</v>
      </c>
      <c r="H1312" s="5">
        <v>8600000</v>
      </c>
    </row>
    <row r="1313" spans="1:8" ht="18.75" x14ac:dyDescent="0.2">
      <c r="A1313" s="3" t="str">
        <f t="shared" si="161"/>
        <v>98/11/26</v>
      </c>
      <c r="B1313" s="3" t="str">
        <f t="shared" si="162"/>
        <v>كالاهاي مصرفي</v>
      </c>
      <c r="C1313" s="3" t="str">
        <f>"انبار مركزي ( عمومي )"</f>
        <v>انبار مركزي ( عمومي )</v>
      </c>
      <c r="D1313" s="3" t="str">
        <f>"0213000349"</f>
        <v>0213000349</v>
      </c>
      <c r="E1313" s="3" t="str">
        <f>"پوساب P240 معمولي"</f>
        <v>پوساب P240 معمولي</v>
      </c>
      <c r="F1313" s="3" t="str">
        <f>"برگ"</f>
        <v>برگ</v>
      </c>
      <c r="G1313" s="3">
        <v>300</v>
      </c>
      <c r="H1313" s="5">
        <v>8670000</v>
      </c>
    </row>
    <row r="1314" spans="1:8" ht="18.75" x14ac:dyDescent="0.2">
      <c r="A1314" s="3" t="str">
        <f t="shared" si="161"/>
        <v>98/11/26</v>
      </c>
      <c r="B1314" s="3" t="str">
        <f t="shared" si="162"/>
        <v>كالاهاي مصرفي</v>
      </c>
      <c r="C1314" s="3" t="str">
        <f>"انبار مصرفي ZU1"</f>
        <v>انبار مصرفي ZU1</v>
      </c>
      <c r="D1314" s="3" t="str">
        <f>"0101000020"</f>
        <v>0101000020</v>
      </c>
      <c r="E1314" s="3" t="str">
        <f>"برس رنگ  2 اينچ"</f>
        <v>برس رنگ  2 اينچ</v>
      </c>
      <c r="F1314" s="3" t="str">
        <f>"عدد"</f>
        <v>عدد</v>
      </c>
      <c r="G1314" s="3">
        <v>63</v>
      </c>
      <c r="H1314" s="5">
        <v>8698855</v>
      </c>
    </row>
    <row r="1315" spans="1:8" ht="18.75" x14ac:dyDescent="0.2">
      <c r="A1315" s="3" t="str">
        <f t="shared" si="161"/>
        <v>98/11/26</v>
      </c>
      <c r="B1315" s="3" t="str">
        <f t="shared" si="162"/>
        <v>كالاهاي مصرفي</v>
      </c>
      <c r="C1315" s="3" t="str">
        <f>"انبار مصرفي ZU1"</f>
        <v>انبار مصرفي ZU1</v>
      </c>
      <c r="D1315" s="3" t="str">
        <f>"0211001715"</f>
        <v>0211001715</v>
      </c>
      <c r="E1315" s="3" t="str">
        <f>"شيم پليت ضخامت 0/05 به ابعاد 100 *100"</f>
        <v>شيم پليت ضخامت 0/05 به ابعاد 100 *100</v>
      </c>
      <c r="F1315" s="3" t="str">
        <f>"عدد"</f>
        <v>عدد</v>
      </c>
      <c r="G1315" s="3">
        <v>61</v>
      </c>
      <c r="H1315" s="5">
        <v>8710000</v>
      </c>
    </row>
    <row r="1316" spans="1:8" ht="18.75" x14ac:dyDescent="0.2">
      <c r="A1316" s="3" t="str">
        <f t="shared" si="161"/>
        <v>98/11/26</v>
      </c>
      <c r="B1316" s="3" t="str">
        <f t="shared" si="162"/>
        <v>كالاهاي مصرفي</v>
      </c>
      <c r="C1316" s="3" t="str">
        <f>"انبار مصرفي ZU1"</f>
        <v>انبار مصرفي ZU1</v>
      </c>
      <c r="D1316" s="3" t="str">
        <f>"0213000778"</f>
        <v>0213000778</v>
      </c>
      <c r="E1316" s="3" t="str">
        <f>"صفحه سنگ برش آهن  بزرگ 22*3*180"</f>
        <v>صفحه سنگ برش آهن  بزرگ 22*3*180</v>
      </c>
      <c r="F1316" s="3" t="str">
        <f>"عدد"</f>
        <v>عدد</v>
      </c>
      <c r="G1316" s="3">
        <v>135</v>
      </c>
      <c r="H1316" s="5">
        <v>8730990</v>
      </c>
    </row>
    <row r="1317" spans="1:8" ht="18.75" x14ac:dyDescent="0.2">
      <c r="A1317" s="3" t="str">
        <f t="shared" si="161"/>
        <v>98/11/26</v>
      </c>
      <c r="B1317" s="3" t="str">
        <f t="shared" si="162"/>
        <v>كالاهاي مصرفي</v>
      </c>
      <c r="C1317" s="3" t="str">
        <f>"انبار مصرفي ZU1"</f>
        <v>انبار مصرفي ZU1</v>
      </c>
      <c r="D1317" s="3" t="str">
        <f>"0204001164"</f>
        <v>0204001164</v>
      </c>
      <c r="E1317" s="3" t="str">
        <f>"پکينگ آببندي (فشاري) گرافيتي کنف دار 8*8 ميليمتر"</f>
        <v>پکينگ آببندي (فشاري) گرافيتي کنف دار 8*8 ميليمتر</v>
      </c>
      <c r="F1317" s="3" t="str">
        <f>"قرقره"</f>
        <v>قرقره</v>
      </c>
      <c r="G1317" s="3">
        <v>7</v>
      </c>
      <c r="H1317" s="5">
        <v>8750000</v>
      </c>
    </row>
    <row r="1318" spans="1:8" ht="18.75" x14ac:dyDescent="0.2">
      <c r="A1318" s="3" t="str">
        <f t="shared" si="161"/>
        <v>98/11/26</v>
      </c>
      <c r="B1318" s="3" t="str">
        <f t="shared" si="162"/>
        <v>كالاهاي مصرفي</v>
      </c>
      <c r="C1318" s="3" t="str">
        <f>"انبار مصرفي ZU1"</f>
        <v>انبار مصرفي ZU1</v>
      </c>
      <c r="D1318" s="3" t="str">
        <f>"0213000294"</f>
        <v>0213000294</v>
      </c>
      <c r="E1318" s="3" t="str">
        <f>"پكينگ منجيد دار"</f>
        <v>پكينگ منجيد دار</v>
      </c>
      <c r="F1318" s="3" t="str">
        <f>"عدد"</f>
        <v>عدد</v>
      </c>
      <c r="G1318" s="3">
        <v>37</v>
      </c>
      <c r="H1318" s="5">
        <v>8756667</v>
      </c>
    </row>
    <row r="1319" spans="1:8" ht="18.75" x14ac:dyDescent="0.2">
      <c r="A1319" s="3" t="str">
        <f t="shared" si="161"/>
        <v>98/11/26</v>
      </c>
      <c r="B1319" s="3" t="str">
        <f t="shared" si="162"/>
        <v>كالاهاي مصرفي</v>
      </c>
      <c r="C1319" s="3" t="str">
        <f>"انبار مركزي ( عمومي )"</f>
        <v>انبار مركزي ( عمومي )</v>
      </c>
      <c r="D1319" s="3" t="str">
        <f>"0213000903"</f>
        <v>0213000903</v>
      </c>
      <c r="E1319" s="3" t="str">
        <f>"سمباده انگشتي P60 -40*20*6mm"</f>
        <v>سمباده انگشتي P60 -40*20*6mm</v>
      </c>
      <c r="F1319" s="3" t="str">
        <f>"عدد"</f>
        <v>عدد</v>
      </c>
      <c r="G1319" s="3">
        <v>200</v>
      </c>
      <c r="H1319" s="5">
        <v>8800000</v>
      </c>
    </row>
    <row r="1320" spans="1:8" ht="18.75" x14ac:dyDescent="0.2">
      <c r="A1320" s="3" t="str">
        <f t="shared" si="161"/>
        <v>98/11/26</v>
      </c>
      <c r="B1320" s="3" t="str">
        <f t="shared" si="162"/>
        <v>كالاهاي مصرفي</v>
      </c>
      <c r="C1320" s="3" t="str">
        <f>"انبار مركزي ( عمومي )"</f>
        <v>انبار مركزي ( عمومي )</v>
      </c>
      <c r="D1320" s="3" t="str">
        <f>"0601000016"</f>
        <v>0601000016</v>
      </c>
      <c r="E1320" s="3" t="str">
        <f>"دستكش عايق برق 30KV"</f>
        <v>دستكش عايق برق 30KV</v>
      </c>
      <c r="F1320" s="3" t="str">
        <f>"جفت"</f>
        <v>جفت</v>
      </c>
      <c r="G1320" s="3">
        <v>4</v>
      </c>
      <c r="H1320" s="5">
        <v>8800000</v>
      </c>
    </row>
    <row r="1321" spans="1:8" ht="18.75" x14ac:dyDescent="0.2">
      <c r="A1321" s="3" t="str">
        <f t="shared" si="161"/>
        <v>98/11/26</v>
      </c>
      <c r="B1321" s="3" t="str">
        <f t="shared" si="162"/>
        <v>كالاهاي مصرفي</v>
      </c>
      <c r="C1321" s="3" t="str">
        <f>"انبار مصرفي ZU1"</f>
        <v>انبار مصرفي ZU1</v>
      </c>
      <c r="D1321" s="3" t="str">
        <f>"0204001002"</f>
        <v>0204001002</v>
      </c>
      <c r="E1321" s="3" t="str">
        <f>"بيرينگ 6307 2RS/C3"</f>
        <v>بيرينگ 6307 2RS/C3</v>
      </c>
      <c r="F1321" s="3" t="str">
        <f t="shared" ref="F1321:F1328" si="164">"عدد"</f>
        <v>عدد</v>
      </c>
      <c r="G1321" s="3">
        <v>27</v>
      </c>
      <c r="H1321" s="5">
        <v>8824286</v>
      </c>
    </row>
    <row r="1322" spans="1:8" ht="18.75" x14ac:dyDescent="0.2">
      <c r="A1322" s="3" t="str">
        <f t="shared" si="161"/>
        <v>98/11/26</v>
      </c>
      <c r="B1322" s="3" t="str">
        <f t="shared" si="162"/>
        <v>كالاهاي مصرفي</v>
      </c>
      <c r="C1322" s="3" t="str">
        <f>"انبار مصرفي ZU1"</f>
        <v>انبار مصرفي ZU1</v>
      </c>
      <c r="D1322" s="3" t="str">
        <f>"0204000717"</f>
        <v>0204000717</v>
      </c>
      <c r="E1322" s="3" t="str">
        <f>"كاسه نمد Mild Steel 80*105*10 AIB"</f>
        <v>كاسه نمد Mild Steel 80*105*10 AIB</v>
      </c>
      <c r="F1322" s="3" t="str">
        <f t="shared" si="164"/>
        <v>عدد</v>
      </c>
      <c r="G1322" s="3">
        <v>50</v>
      </c>
      <c r="H1322" s="5">
        <v>8850000</v>
      </c>
    </row>
    <row r="1323" spans="1:8" ht="18.75" x14ac:dyDescent="0.2">
      <c r="A1323" s="3" t="str">
        <f t="shared" si="161"/>
        <v>98/11/26</v>
      </c>
      <c r="B1323" s="3" t="str">
        <f t="shared" si="162"/>
        <v>كالاهاي مصرفي</v>
      </c>
      <c r="C1323" s="3" t="str">
        <f>"انبار مصرفي ZU1"</f>
        <v>انبار مصرفي ZU1</v>
      </c>
      <c r="D1323" s="3" t="str">
        <f>"0204001356"</f>
        <v>0204001356</v>
      </c>
      <c r="E1323" s="3" t="str">
        <f>"اورينگ HNBR 40*3.0"</f>
        <v>اورينگ HNBR 40*3.0</v>
      </c>
      <c r="F1323" s="3" t="str">
        <f t="shared" si="164"/>
        <v>عدد</v>
      </c>
      <c r="G1323" s="3">
        <v>19</v>
      </c>
      <c r="H1323" s="5">
        <v>8854000</v>
      </c>
    </row>
    <row r="1324" spans="1:8" ht="18.75" x14ac:dyDescent="0.2">
      <c r="A1324" s="3" t="str">
        <f t="shared" si="161"/>
        <v>98/11/26</v>
      </c>
      <c r="B1324" s="3" t="str">
        <f t="shared" si="162"/>
        <v>كالاهاي مصرفي</v>
      </c>
      <c r="C1324" s="3" t="str">
        <f>"انبار مصرفي ZU1"</f>
        <v>انبار مصرفي ZU1</v>
      </c>
      <c r="D1324" s="3" t="str">
        <f>"0106000136"</f>
        <v>0106000136</v>
      </c>
      <c r="E1324" s="3" t="str">
        <f>"گريس تابان يك كيلويي"</f>
        <v>گريس تابان يك كيلويي</v>
      </c>
      <c r="F1324" s="3" t="str">
        <f t="shared" si="164"/>
        <v>عدد</v>
      </c>
      <c r="G1324" s="3">
        <v>22</v>
      </c>
      <c r="H1324" s="5">
        <v>8855000</v>
      </c>
    </row>
    <row r="1325" spans="1:8" ht="18.75" x14ac:dyDescent="0.2">
      <c r="A1325" s="3" t="str">
        <f t="shared" si="161"/>
        <v>98/11/26</v>
      </c>
      <c r="B1325" s="3" t="str">
        <f t="shared" si="162"/>
        <v>كالاهاي مصرفي</v>
      </c>
      <c r="C1325" s="3" t="str">
        <f>"انبار مركزي ( عمومي )"</f>
        <v>انبار مركزي ( عمومي )</v>
      </c>
      <c r="D1325" s="3" t="str">
        <f>"0904000008"</f>
        <v>0904000008</v>
      </c>
      <c r="E1325" s="3" t="str">
        <f>"H.D.D External"</f>
        <v>H.D.D External</v>
      </c>
      <c r="F1325" s="3" t="str">
        <f t="shared" si="164"/>
        <v>عدد</v>
      </c>
      <c r="G1325" s="3">
        <v>2</v>
      </c>
      <c r="H1325" s="5">
        <v>8900000</v>
      </c>
    </row>
    <row r="1326" spans="1:8" ht="18.75" x14ac:dyDescent="0.2">
      <c r="A1326" s="3" t="str">
        <f t="shared" si="161"/>
        <v>98/11/26</v>
      </c>
      <c r="B1326" s="3" t="str">
        <f t="shared" si="162"/>
        <v>كالاهاي مصرفي</v>
      </c>
      <c r="C1326" s="3" t="str">
        <f>"انبار مصرفي ZU1"</f>
        <v>انبار مصرفي ZU1</v>
      </c>
      <c r="D1326" s="3" t="str">
        <f>"0213000159"</f>
        <v>0213000159</v>
      </c>
      <c r="E1326" s="3" t="str">
        <f>"پيچ دو سر رزوه M16*100"</f>
        <v>پيچ دو سر رزوه M16*100</v>
      </c>
      <c r="F1326" s="3" t="str">
        <f t="shared" si="164"/>
        <v>عدد</v>
      </c>
      <c r="G1326" s="3">
        <v>294</v>
      </c>
      <c r="H1326" s="5">
        <v>8958600</v>
      </c>
    </row>
    <row r="1327" spans="1:8" ht="18.75" x14ac:dyDescent="0.2">
      <c r="A1327" s="3" t="str">
        <f t="shared" si="161"/>
        <v>98/11/26</v>
      </c>
      <c r="B1327" s="3" t="str">
        <f t="shared" si="162"/>
        <v>كالاهاي مصرفي</v>
      </c>
      <c r="C1327" s="3" t="str">
        <f>"انبار مركزي ( عمومي )"</f>
        <v>انبار مركزي ( عمومي )</v>
      </c>
      <c r="D1327" s="3" t="str">
        <f>"0202000073"</f>
        <v>0202000073</v>
      </c>
      <c r="E1327" s="3" t="str">
        <f>"جعبه تقسيم 15*15"</f>
        <v>جعبه تقسيم 15*15</v>
      </c>
      <c r="F1327" s="3" t="str">
        <f t="shared" si="164"/>
        <v>عدد</v>
      </c>
      <c r="G1327" s="3">
        <v>100</v>
      </c>
      <c r="H1327" s="5">
        <v>9000000</v>
      </c>
    </row>
    <row r="1328" spans="1:8" ht="18.75" x14ac:dyDescent="0.2">
      <c r="A1328" s="3" t="str">
        <f t="shared" si="161"/>
        <v>98/11/26</v>
      </c>
      <c r="B1328" s="3" t="str">
        <f t="shared" si="162"/>
        <v>كالاهاي مصرفي</v>
      </c>
      <c r="C1328" s="3" t="str">
        <f>"انبار مصرفي ZU1"</f>
        <v>انبار مصرفي ZU1</v>
      </c>
      <c r="D1328" s="3" t="str">
        <f>"0204001343"</f>
        <v>0204001343</v>
      </c>
      <c r="E1328" s="3" t="str">
        <f>"اورينگ HNBR 870*6.0"</f>
        <v>اورينگ HNBR 870*6.0</v>
      </c>
      <c r="F1328" s="3" t="str">
        <f t="shared" si="164"/>
        <v>عدد</v>
      </c>
      <c r="G1328" s="3">
        <v>5</v>
      </c>
      <c r="H1328" s="5">
        <v>9000000</v>
      </c>
    </row>
    <row r="1329" spans="1:8" ht="18.75" x14ac:dyDescent="0.2">
      <c r="A1329" s="3" t="str">
        <f t="shared" si="161"/>
        <v>98/11/26</v>
      </c>
      <c r="B1329" s="3" t="str">
        <f t="shared" si="162"/>
        <v>كالاهاي مصرفي</v>
      </c>
      <c r="C1329" s="3" t="str">
        <f>"انبار مصرفي ZU1"</f>
        <v>انبار مصرفي ZU1</v>
      </c>
      <c r="D1329" s="3" t="str">
        <f>"0204001785"</f>
        <v>0204001785</v>
      </c>
      <c r="E1329" s="3" t="str">
        <f>"گسکت گرافيتي ضخامت 0/5 ميليمتر"</f>
        <v>گسکت گرافيتي ضخامت 0/5 ميليمتر</v>
      </c>
      <c r="F1329" s="3" t="str">
        <f>"متر مربع"</f>
        <v>متر مربع</v>
      </c>
      <c r="G1329" s="3">
        <v>22.5</v>
      </c>
      <c r="H1329" s="5">
        <v>9000000</v>
      </c>
    </row>
    <row r="1330" spans="1:8" ht="18.75" x14ac:dyDescent="0.2">
      <c r="A1330" s="3" t="str">
        <f t="shared" si="161"/>
        <v>98/11/26</v>
      </c>
      <c r="B1330" s="3" t="str">
        <f t="shared" si="162"/>
        <v>كالاهاي مصرفي</v>
      </c>
      <c r="C1330" s="3" t="str">
        <f>"انبار مصرفي ZU1"</f>
        <v>انبار مصرفي ZU1</v>
      </c>
      <c r="D1330" s="3" t="str">
        <f>"0204001947"</f>
        <v>0204001947</v>
      </c>
      <c r="E1330" s="3" t="str">
        <f>"واشر آببندي گرافيتي 192*172*3"</f>
        <v>واشر آببندي گرافيتي 192*172*3</v>
      </c>
      <c r="F1330" s="3" t="str">
        <f t="shared" ref="F1330:F1335" si="165">"عدد"</f>
        <v>عدد</v>
      </c>
      <c r="G1330" s="3">
        <v>10</v>
      </c>
      <c r="H1330" s="5">
        <v>9000000</v>
      </c>
    </row>
    <row r="1331" spans="1:8" ht="18.75" x14ac:dyDescent="0.2">
      <c r="A1331" s="3" t="str">
        <f t="shared" si="161"/>
        <v>98/11/26</v>
      </c>
      <c r="B1331" s="3" t="str">
        <f t="shared" si="162"/>
        <v>كالاهاي مصرفي</v>
      </c>
      <c r="C1331" s="3" t="str">
        <f>"انبار مصرفي ZU1"</f>
        <v>انبار مصرفي ZU1</v>
      </c>
      <c r="D1331" s="3" t="str">
        <f>"0204002419"</f>
        <v>0204002419</v>
      </c>
      <c r="E1331" s="3" t="str">
        <f>"لرزه گير لاستيكي انعطاف پذير قطر 32 ميليمتر"</f>
        <v>لرزه گير لاستيكي انعطاف پذير قطر 32 ميليمتر</v>
      </c>
      <c r="F1331" s="3" t="str">
        <f t="shared" si="165"/>
        <v>عدد</v>
      </c>
      <c r="G1331" s="3">
        <v>2</v>
      </c>
      <c r="H1331" s="5">
        <v>9000000</v>
      </c>
    </row>
    <row r="1332" spans="1:8" ht="18.75" x14ac:dyDescent="0.2">
      <c r="A1332" s="3" t="str">
        <f t="shared" si="161"/>
        <v>98/11/26</v>
      </c>
      <c r="B1332" s="3" t="str">
        <f t="shared" si="162"/>
        <v>كالاهاي مصرفي</v>
      </c>
      <c r="C1332" s="3" t="str">
        <f>"انبار مركزي ( عمومي )"</f>
        <v>انبار مركزي ( عمومي )</v>
      </c>
      <c r="D1332" s="3" t="str">
        <f>"0211001944"</f>
        <v>0211001944</v>
      </c>
      <c r="E1332" s="3" t="str">
        <f>"صفحه برس تخت خورشيدي افشان 150mm"</f>
        <v>صفحه برس تخت خورشيدي افشان 150mm</v>
      </c>
      <c r="F1332" s="3" t="str">
        <f t="shared" si="165"/>
        <v>عدد</v>
      </c>
      <c r="G1332" s="3">
        <v>30</v>
      </c>
      <c r="H1332" s="5">
        <v>9000000</v>
      </c>
    </row>
    <row r="1333" spans="1:8" ht="18.75" x14ac:dyDescent="0.2">
      <c r="A1333" s="3" t="str">
        <f t="shared" si="161"/>
        <v>98/11/26</v>
      </c>
      <c r="B1333" s="3" t="str">
        <f t="shared" si="162"/>
        <v>كالاهاي مصرفي</v>
      </c>
      <c r="C1333" s="3" t="str">
        <f>"انبار مصرفي ZU1"</f>
        <v>انبار مصرفي ZU1</v>
      </c>
      <c r="D1333" s="3" t="str">
        <f>"0204001881"</f>
        <v>0204001881</v>
      </c>
      <c r="E1333" s="3" t="str">
        <f>"كاسه نمد Mild Steel 70*90*4 AIA"</f>
        <v>كاسه نمد Mild Steel 70*90*4 AIA</v>
      </c>
      <c r="F1333" s="3" t="str">
        <f t="shared" si="165"/>
        <v>عدد</v>
      </c>
      <c r="G1333" s="3">
        <v>20</v>
      </c>
      <c r="H1333" s="5">
        <v>9040000</v>
      </c>
    </row>
    <row r="1334" spans="1:8" ht="18.75" x14ac:dyDescent="0.2">
      <c r="A1334" s="3" t="str">
        <f t="shared" si="161"/>
        <v>98/11/26</v>
      </c>
      <c r="B1334" s="3" t="str">
        <f t="shared" si="162"/>
        <v>كالاهاي مصرفي</v>
      </c>
      <c r="C1334" s="3" t="str">
        <f>"انبار مصرفي ZU1"</f>
        <v>انبار مصرفي ZU1</v>
      </c>
      <c r="D1334" s="3" t="str">
        <f>"0204000737"</f>
        <v>0204000737</v>
      </c>
      <c r="E1334" s="3" t="str">
        <f>"كاسه نمد Mild Steel 75*100*4 AIA"</f>
        <v>كاسه نمد Mild Steel 75*100*4 AIA</v>
      </c>
      <c r="F1334" s="3" t="str">
        <f t="shared" si="165"/>
        <v>عدد</v>
      </c>
      <c r="G1334" s="3">
        <v>50</v>
      </c>
      <c r="H1334" s="5">
        <v>9050000</v>
      </c>
    </row>
    <row r="1335" spans="1:8" ht="18.75" x14ac:dyDescent="0.2">
      <c r="A1335" s="3" t="str">
        <f t="shared" si="161"/>
        <v>98/11/26</v>
      </c>
      <c r="B1335" s="3" t="str">
        <f t="shared" si="162"/>
        <v>كالاهاي مصرفي</v>
      </c>
      <c r="C1335" s="3" t="str">
        <f>"انبار مركزي ( عمومي )"</f>
        <v>انبار مركزي ( عمومي )</v>
      </c>
      <c r="D1335" s="3" t="str">
        <f>"0213000738"</f>
        <v>0213000738</v>
      </c>
      <c r="E1335" s="3" t="str">
        <f>"مته آهن نمره 7"</f>
        <v>مته آهن نمره 7</v>
      </c>
      <c r="F1335" s="3" t="str">
        <f t="shared" si="165"/>
        <v>عدد</v>
      </c>
      <c r="G1335" s="3">
        <v>98</v>
      </c>
      <c r="H1335" s="5">
        <v>9114000</v>
      </c>
    </row>
    <row r="1336" spans="1:8" ht="18.75" x14ac:dyDescent="0.2">
      <c r="A1336" s="3" t="str">
        <f t="shared" si="161"/>
        <v>98/11/26</v>
      </c>
      <c r="B1336" s="3" t="str">
        <f t="shared" si="162"/>
        <v>كالاهاي مصرفي</v>
      </c>
      <c r="C1336" s="3" t="str">
        <f>"انبار مصرفي ZU1"</f>
        <v>انبار مصرفي ZU1</v>
      </c>
      <c r="D1336" s="3" t="str">
        <f>"0206000523"</f>
        <v>0206000523</v>
      </c>
      <c r="E1336" s="3" t="str">
        <f>"لوله پلي اتيلن 180-16 اتمسفر - پي 100"</f>
        <v>لوله پلي اتيلن 180-16 اتمسفر - پي 100</v>
      </c>
      <c r="F1336" s="3" t="str">
        <f>"متر"</f>
        <v>متر</v>
      </c>
      <c r="G1336" s="3">
        <v>12</v>
      </c>
      <c r="H1336" s="5">
        <v>9120000</v>
      </c>
    </row>
    <row r="1337" spans="1:8" ht="18.75" x14ac:dyDescent="0.2">
      <c r="A1337" s="3" t="str">
        <f t="shared" si="161"/>
        <v>98/11/26</v>
      </c>
      <c r="B1337" s="3" t="str">
        <f t="shared" si="162"/>
        <v>كالاهاي مصرفي</v>
      </c>
      <c r="C1337" s="3" t="str">
        <f>"انبار مصرفي ZU1"</f>
        <v>انبار مصرفي ZU1</v>
      </c>
      <c r="D1337" s="3" t="str">
        <f>"0209000388"</f>
        <v>0209000388</v>
      </c>
      <c r="E1337" s="3" t="str">
        <f>"لنت پولي دستگاه تهويه"</f>
        <v>لنت پولي دستگاه تهويه</v>
      </c>
      <c r="F1337" s="3" t="str">
        <f>"عدد"</f>
        <v>عدد</v>
      </c>
      <c r="G1337" s="3">
        <v>19</v>
      </c>
      <c r="H1337" s="5">
        <v>9120000</v>
      </c>
    </row>
    <row r="1338" spans="1:8" ht="18.75" x14ac:dyDescent="0.2">
      <c r="A1338" s="3" t="str">
        <f t="shared" si="161"/>
        <v>98/11/26</v>
      </c>
      <c r="B1338" s="3" t="str">
        <f t="shared" si="162"/>
        <v>كالاهاي مصرفي</v>
      </c>
      <c r="C1338" s="3" t="str">
        <f>"انبار مركزي ( عمومي )"</f>
        <v>انبار مركزي ( عمومي )</v>
      </c>
      <c r="D1338" s="3" t="str">
        <f>"0213000572"</f>
        <v>0213000572</v>
      </c>
      <c r="E1338" s="3" t="str">
        <f>"پوساب P320 معمولي"</f>
        <v>پوساب P320 معمولي</v>
      </c>
      <c r="F1338" s="3" t="str">
        <f>"برگ"</f>
        <v>برگ</v>
      </c>
      <c r="G1338" s="3">
        <v>320</v>
      </c>
      <c r="H1338" s="5">
        <v>9248000</v>
      </c>
    </row>
    <row r="1339" spans="1:8" ht="18.75" x14ac:dyDescent="0.2">
      <c r="A1339" s="3" t="str">
        <f t="shared" si="161"/>
        <v>98/11/26</v>
      </c>
      <c r="B1339" s="3" t="str">
        <f t="shared" si="162"/>
        <v>كالاهاي مصرفي</v>
      </c>
      <c r="C1339" s="3" t="str">
        <f t="shared" ref="C1339:C1349" si="166">"انبار مصرفي ZU1"</f>
        <v>انبار مصرفي ZU1</v>
      </c>
      <c r="D1339" s="3" t="str">
        <f>"0204001752"</f>
        <v>0204001752</v>
      </c>
      <c r="E1339" s="3" t="str">
        <f>"بيرينگ 22217"</f>
        <v>بيرينگ 22217</v>
      </c>
      <c r="F1339" s="3" t="str">
        <f>"عدد"</f>
        <v>عدد</v>
      </c>
      <c r="G1339" s="3">
        <v>3</v>
      </c>
      <c r="H1339" s="5">
        <v>9300000</v>
      </c>
    </row>
    <row r="1340" spans="1:8" ht="18.75" x14ac:dyDescent="0.2">
      <c r="A1340" s="3" t="str">
        <f t="shared" si="161"/>
        <v>98/11/26</v>
      </c>
      <c r="B1340" s="3" t="str">
        <f t="shared" si="162"/>
        <v>كالاهاي مصرفي</v>
      </c>
      <c r="C1340" s="3" t="str">
        <f t="shared" si="166"/>
        <v>انبار مصرفي ZU1</v>
      </c>
      <c r="D1340" s="3" t="str">
        <f>"0204001894"</f>
        <v>0204001894</v>
      </c>
      <c r="E1340" s="3" t="str">
        <f>"كاسه نمد Mild Steel 35*52*8 AIB"</f>
        <v>كاسه نمد Mild Steel 35*52*8 AIB</v>
      </c>
      <c r="F1340" s="3" t="str">
        <f>"عدد"</f>
        <v>عدد</v>
      </c>
      <c r="G1340" s="3">
        <v>30</v>
      </c>
      <c r="H1340" s="5">
        <v>9300000</v>
      </c>
    </row>
    <row r="1341" spans="1:8" ht="18.75" x14ac:dyDescent="0.2">
      <c r="A1341" s="3" t="str">
        <f t="shared" si="161"/>
        <v>98/11/26</v>
      </c>
      <c r="B1341" s="3" t="str">
        <f t="shared" si="162"/>
        <v>كالاهاي مصرفي</v>
      </c>
      <c r="C1341" s="3" t="str">
        <f t="shared" si="166"/>
        <v>انبار مصرفي ZU1</v>
      </c>
      <c r="D1341" s="3" t="str">
        <f>"0204001362"</f>
        <v>0204001362</v>
      </c>
      <c r="E1341" s="3" t="str">
        <f>"اورينگ HNBR 315*4"</f>
        <v>اورينگ HNBR 315*4</v>
      </c>
      <c r="F1341" s="3" t="str">
        <f>"عدد"</f>
        <v>عدد</v>
      </c>
      <c r="G1341" s="3">
        <v>20</v>
      </c>
      <c r="H1341" s="5">
        <v>9320000</v>
      </c>
    </row>
    <row r="1342" spans="1:8" ht="18.75" x14ac:dyDescent="0.2">
      <c r="A1342" s="3" t="str">
        <f t="shared" si="161"/>
        <v>98/11/26</v>
      </c>
      <c r="B1342" s="3" t="str">
        <f t="shared" si="162"/>
        <v>كالاهاي مصرفي</v>
      </c>
      <c r="C1342" s="3" t="str">
        <f t="shared" si="166"/>
        <v>انبار مصرفي ZU1</v>
      </c>
      <c r="D1342" s="3" t="str">
        <f>"0204001366"</f>
        <v>0204001366</v>
      </c>
      <c r="E1342" s="3" t="str">
        <f>"اورينگ HNBR 180*6"</f>
        <v>اورينگ HNBR 180*6</v>
      </c>
      <c r="F1342" s="3" t="str">
        <f>"عدد"</f>
        <v>عدد</v>
      </c>
      <c r="G1342" s="3">
        <v>20</v>
      </c>
      <c r="H1342" s="5">
        <v>9320000</v>
      </c>
    </row>
    <row r="1343" spans="1:8" ht="18.75" x14ac:dyDescent="0.2">
      <c r="A1343" s="3" t="str">
        <f t="shared" si="161"/>
        <v>98/11/26</v>
      </c>
      <c r="B1343" s="3" t="str">
        <f t="shared" si="162"/>
        <v>كالاهاي مصرفي</v>
      </c>
      <c r="C1343" s="3" t="str">
        <f t="shared" si="166"/>
        <v>انبار مصرفي ZU1</v>
      </c>
      <c r="D1343" s="3" t="str">
        <f>"0204001920"</f>
        <v>0204001920</v>
      </c>
      <c r="E1343" s="3" t="s">
        <v>5</v>
      </c>
      <c r="F1343" s="3" t="s">
        <v>0</v>
      </c>
      <c r="G1343" s="3">
        <v>9</v>
      </c>
      <c r="H1343" s="5">
        <v>9360000</v>
      </c>
    </row>
    <row r="1344" spans="1:8" ht="18.75" x14ac:dyDescent="0.2">
      <c r="A1344" s="3" t="str">
        <f t="shared" si="161"/>
        <v>98/11/26</v>
      </c>
      <c r="B1344" s="3" t="str">
        <f t="shared" si="162"/>
        <v>كالاهاي مصرفي</v>
      </c>
      <c r="C1344" s="3" t="str">
        <f t="shared" si="166"/>
        <v>انبار مصرفي ZU1</v>
      </c>
      <c r="D1344" s="3" t="str">
        <f>"0211001719"</f>
        <v>0211001719</v>
      </c>
      <c r="E1344" s="3" t="str">
        <f>"شيم پليت ضخامت 0/1 به ابعاد 75 *75"</f>
        <v>شيم پليت ضخامت 0/1 به ابعاد 75 *75</v>
      </c>
      <c r="F1344" s="3" t="str">
        <f t="shared" ref="F1344:F1350" si="167">"عدد"</f>
        <v>عدد</v>
      </c>
      <c r="G1344" s="3">
        <v>60</v>
      </c>
      <c r="H1344" s="5">
        <v>9380000</v>
      </c>
    </row>
    <row r="1345" spans="1:8" ht="18.75" x14ac:dyDescent="0.2">
      <c r="A1345" s="3" t="str">
        <f t="shared" si="161"/>
        <v>98/11/26</v>
      </c>
      <c r="B1345" s="3" t="str">
        <f t="shared" si="162"/>
        <v>كالاهاي مصرفي</v>
      </c>
      <c r="C1345" s="3" t="str">
        <f t="shared" si="166"/>
        <v>انبار مصرفي ZU1</v>
      </c>
      <c r="D1345" s="3" t="str">
        <f>"0204000521"</f>
        <v>0204000521</v>
      </c>
      <c r="E1345" s="3" t="str">
        <f>"بيرينگ C4-6314"</f>
        <v>بيرينگ C4-6314</v>
      </c>
      <c r="F1345" s="3" t="str">
        <f t="shared" si="167"/>
        <v>عدد</v>
      </c>
      <c r="G1345" s="3">
        <v>3</v>
      </c>
      <c r="H1345" s="5">
        <v>9400000</v>
      </c>
    </row>
    <row r="1346" spans="1:8" ht="18.75" x14ac:dyDescent="0.2">
      <c r="A1346" s="3" t="str">
        <f t="shared" ref="A1346:A1409" si="168">"98/11/26"</f>
        <v>98/11/26</v>
      </c>
      <c r="B1346" s="3" t="str">
        <f t="shared" ref="B1346:B1409" si="169">"كالاهاي مصرفي"</f>
        <v>كالاهاي مصرفي</v>
      </c>
      <c r="C1346" s="3" t="str">
        <f t="shared" si="166"/>
        <v>انبار مصرفي ZU1</v>
      </c>
      <c r="D1346" s="3" t="str">
        <f>"0204001093"</f>
        <v>0204001093</v>
      </c>
      <c r="E1346" s="3" t="str">
        <f>"بيرينگ 6220/C4"</f>
        <v>بيرينگ 6220/C4</v>
      </c>
      <c r="F1346" s="3" t="str">
        <f t="shared" si="167"/>
        <v>عدد</v>
      </c>
      <c r="G1346" s="3">
        <v>5</v>
      </c>
      <c r="H1346" s="5">
        <v>9400000</v>
      </c>
    </row>
    <row r="1347" spans="1:8" ht="18.75" x14ac:dyDescent="0.2">
      <c r="A1347" s="3" t="str">
        <f t="shared" si="168"/>
        <v>98/11/26</v>
      </c>
      <c r="B1347" s="3" t="str">
        <f t="shared" si="169"/>
        <v>كالاهاي مصرفي</v>
      </c>
      <c r="C1347" s="3" t="str">
        <f t="shared" si="166"/>
        <v>انبار مصرفي ZU1</v>
      </c>
      <c r="D1347" s="3" t="str">
        <f>"0204002128"</f>
        <v>0204002128</v>
      </c>
      <c r="E1347" s="3" t="str">
        <f>"بيرينگ 32020"</f>
        <v>بيرينگ 32020</v>
      </c>
      <c r="F1347" s="3" t="str">
        <f t="shared" si="167"/>
        <v>عدد</v>
      </c>
      <c r="G1347" s="3">
        <v>2</v>
      </c>
      <c r="H1347" s="5">
        <v>9400000</v>
      </c>
    </row>
    <row r="1348" spans="1:8" ht="18.75" x14ac:dyDescent="0.2">
      <c r="A1348" s="3" t="str">
        <f t="shared" si="168"/>
        <v>98/11/26</v>
      </c>
      <c r="B1348" s="3" t="str">
        <f t="shared" si="169"/>
        <v>كالاهاي مصرفي</v>
      </c>
      <c r="C1348" s="3" t="str">
        <f t="shared" si="166"/>
        <v>انبار مصرفي ZU1</v>
      </c>
      <c r="D1348" s="3" t="str">
        <f>"0204000710"</f>
        <v>0204000710</v>
      </c>
      <c r="E1348" s="3" t="str">
        <f>"كاسه نمد Mild Steel 50*65*3 AIA"</f>
        <v>كاسه نمد Mild Steel 50*65*3 AIA</v>
      </c>
      <c r="F1348" s="3" t="str">
        <f t="shared" si="167"/>
        <v>عدد</v>
      </c>
      <c r="G1348" s="3">
        <v>30</v>
      </c>
      <c r="H1348" s="5">
        <v>9420000</v>
      </c>
    </row>
    <row r="1349" spans="1:8" ht="18.75" x14ac:dyDescent="0.2">
      <c r="A1349" s="3" t="str">
        <f t="shared" si="168"/>
        <v>98/11/26</v>
      </c>
      <c r="B1349" s="3" t="str">
        <f t="shared" si="169"/>
        <v>كالاهاي مصرفي</v>
      </c>
      <c r="C1349" s="3" t="str">
        <f t="shared" si="166"/>
        <v>انبار مصرفي ZU1</v>
      </c>
      <c r="D1349" s="3" t="str">
        <f>"0204001277"</f>
        <v>0204001277</v>
      </c>
      <c r="E1349" s="3" t="str">
        <f>"بال ولو ball valve"</f>
        <v>بال ولو ball valve</v>
      </c>
      <c r="F1349" s="3" t="str">
        <f t="shared" si="167"/>
        <v>عدد</v>
      </c>
      <c r="G1349" s="3">
        <v>1</v>
      </c>
      <c r="H1349" s="5">
        <v>9433333</v>
      </c>
    </row>
    <row r="1350" spans="1:8" ht="18.75" x14ac:dyDescent="0.2">
      <c r="A1350" s="3" t="str">
        <f t="shared" si="168"/>
        <v>98/11/26</v>
      </c>
      <c r="B1350" s="3" t="str">
        <f t="shared" si="169"/>
        <v>كالاهاي مصرفي</v>
      </c>
      <c r="C1350" s="3" t="str">
        <f>"انبار مركزي ( عمومي )"</f>
        <v>انبار مركزي ( عمومي )</v>
      </c>
      <c r="D1350" s="3" t="str">
        <f>"0206000252"</f>
        <v>0206000252</v>
      </c>
      <c r="E1350" s="3" t="str">
        <f>"زانو پرسي نيوپايپ1/2*20"</f>
        <v>زانو پرسي نيوپايپ1/2*20</v>
      </c>
      <c r="F1350" s="3" t="str">
        <f t="shared" si="167"/>
        <v>عدد</v>
      </c>
      <c r="G1350" s="3">
        <v>27</v>
      </c>
      <c r="H1350" s="5">
        <v>9450000</v>
      </c>
    </row>
    <row r="1351" spans="1:8" ht="18.75" x14ac:dyDescent="0.2">
      <c r="A1351" s="3" t="str">
        <f t="shared" si="168"/>
        <v>98/11/26</v>
      </c>
      <c r="B1351" s="3" t="str">
        <f t="shared" si="169"/>
        <v>كالاهاي مصرفي</v>
      </c>
      <c r="C1351" s="3" t="str">
        <f t="shared" ref="C1351:C1359" si="170">"انبار مصرفي ZU1"</f>
        <v>انبار مصرفي ZU1</v>
      </c>
      <c r="D1351" s="3" t="str">
        <f>"0204001664"</f>
        <v>0204001664</v>
      </c>
      <c r="E1351" s="3" t="str">
        <f>"تسمه پروانه SPA -1700"</f>
        <v>تسمه پروانه SPA -1700</v>
      </c>
      <c r="F1351" s="3" t="str">
        <f>"حلقه"</f>
        <v>حلقه</v>
      </c>
      <c r="G1351" s="3">
        <v>6</v>
      </c>
      <c r="H1351" s="5">
        <v>9480000</v>
      </c>
    </row>
    <row r="1352" spans="1:8" ht="18.75" x14ac:dyDescent="0.2">
      <c r="A1352" s="3" t="str">
        <f t="shared" si="168"/>
        <v>98/11/26</v>
      </c>
      <c r="B1352" s="3" t="str">
        <f t="shared" si="169"/>
        <v>كالاهاي مصرفي</v>
      </c>
      <c r="C1352" s="3" t="str">
        <f t="shared" si="170"/>
        <v>انبار مصرفي ZU1</v>
      </c>
      <c r="D1352" s="3" t="str">
        <f>"0209000284"</f>
        <v>0209000284</v>
      </c>
      <c r="E1352" s="3" t="str">
        <f>"بوش پكينگ VN11"</f>
        <v>بوش پكينگ VN11</v>
      </c>
      <c r="F1352" s="3" t="str">
        <f>"عدد"</f>
        <v>عدد</v>
      </c>
      <c r="G1352" s="3">
        <v>1</v>
      </c>
      <c r="H1352" s="5">
        <v>9500000</v>
      </c>
    </row>
    <row r="1353" spans="1:8" ht="18.75" x14ac:dyDescent="0.2">
      <c r="A1353" s="3" t="str">
        <f t="shared" si="168"/>
        <v>98/11/26</v>
      </c>
      <c r="B1353" s="3" t="str">
        <f t="shared" si="169"/>
        <v>كالاهاي مصرفي</v>
      </c>
      <c r="C1353" s="3" t="str">
        <f t="shared" si="170"/>
        <v>انبار مصرفي ZU1</v>
      </c>
      <c r="D1353" s="3" t="str">
        <f>"0209000285"</f>
        <v>0209000285</v>
      </c>
      <c r="E1353" s="3" t="str">
        <f>"بوش پكينگ VN12"</f>
        <v>بوش پكينگ VN12</v>
      </c>
      <c r="F1353" s="3" t="str">
        <f>"عدد"</f>
        <v>عدد</v>
      </c>
      <c r="G1353" s="3">
        <v>1</v>
      </c>
      <c r="H1353" s="5">
        <v>9500000</v>
      </c>
    </row>
    <row r="1354" spans="1:8" ht="18.75" x14ac:dyDescent="0.2">
      <c r="A1354" s="3" t="str">
        <f t="shared" si="168"/>
        <v>98/11/26</v>
      </c>
      <c r="B1354" s="3" t="str">
        <f t="shared" si="169"/>
        <v>كالاهاي مصرفي</v>
      </c>
      <c r="C1354" s="3" t="str">
        <f t="shared" si="170"/>
        <v>انبار مصرفي ZU1</v>
      </c>
      <c r="D1354" s="3" t="str">
        <f>"0204001560"</f>
        <v>0204001560</v>
      </c>
      <c r="E1354" s="3" t="str">
        <f>"اورينگ وايتون ضخامت 2.5 ميليمتر"</f>
        <v>اورينگ وايتون ضخامت 2.5 ميليمتر</v>
      </c>
      <c r="F1354" s="3" t="str">
        <f>"متر"</f>
        <v>متر</v>
      </c>
      <c r="G1354" s="3">
        <v>70</v>
      </c>
      <c r="H1354" s="5">
        <v>9520000</v>
      </c>
    </row>
    <row r="1355" spans="1:8" ht="18.75" x14ac:dyDescent="0.2">
      <c r="A1355" s="3" t="str">
        <f t="shared" si="168"/>
        <v>98/11/26</v>
      </c>
      <c r="B1355" s="3" t="str">
        <f t="shared" si="169"/>
        <v>كالاهاي مصرفي</v>
      </c>
      <c r="C1355" s="3" t="str">
        <f t="shared" si="170"/>
        <v>انبار مصرفي ZU1</v>
      </c>
      <c r="D1355" s="3" t="str">
        <f>"0204000712"</f>
        <v>0204000712</v>
      </c>
      <c r="E1355" s="3" t="str">
        <f>"كاسه نمد Mild Steel 58*80*10 AIB"</f>
        <v>كاسه نمد Mild Steel 58*80*10 AIB</v>
      </c>
      <c r="F1355" s="3" t="str">
        <f>"عدد"</f>
        <v>عدد</v>
      </c>
      <c r="G1355" s="3">
        <v>22</v>
      </c>
      <c r="H1355" s="5">
        <v>9592000</v>
      </c>
    </row>
    <row r="1356" spans="1:8" ht="18.75" x14ac:dyDescent="0.2">
      <c r="A1356" s="3" t="str">
        <f t="shared" si="168"/>
        <v>98/11/26</v>
      </c>
      <c r="B1356" s="3" t="str">
        <f t="shared" si="169"/>
        <v>كالاهاي مصرفي</v>
      </c>
      <c r="C1356" s="3" t="str">
        <f t="shared" si="170"/>
        <v>انبار مصرفي ZU1</v>
      </c>
      <c r="D1356" s="3" t="str">
        <f>"0106000209"</f>
        <v>0106000209</v>
      </c>
      <c r="E1356" s="3" t="str">
        <f>"روغن shell rimula X40"</f>
        <v>روغن shell rimula X40</v>
      </c>
      <c r="F1356" s="3" t="str">
        <f>"ليتر"</f>
        <v>ليتر</v>
      </c>
      <c r="G1356" s="3">
        <v>80</v>
      </c>
      <c r="H1356" s="5">
        <v>9600000</v>
      </c>
    </row>
    <row r="1357" spans="1:8" ht="18.75" x14ac:dyDescent="0.2">
      <c r="A1357" s="3" t="str">
        <f t="shared" si="168"/>
        <v>98/11/26</v>
      </c>
      <c r="B1357" s="3" t="str">
        <f t="shared" si="169"/>
        <v>كالاهاي مصرفي</v>
      </c>
      <c r="C1357" s="3" t="str">
        <f t="shared" si="170"/>
        <v>انبار مصرفي ZU1</v>
      </c>
      <c r="D1357" s="3" t="str">
        <f>"0204001182"</f>
        <v>0204001182</v>
      </c>
      <c r="E1357" s="3" t="str">
        <f>"پکينگ آبندي گرافيتي مسلح14*14  ميليمتر"</f>
        <v>پکينگ آبندي گرافيتي مسلح14*14  ميليمتر</v>
      </c>
      <c r="F1357" s="3" t="str">
        <f>"متر"</f>
        <v>متر</v>
      </c>
      <c r="G1357" s="3">
        <v>20</v>
      </c>
      <c r="H1357" s="5">
        <v>9600000</v>
      </c>
    </row>
    <row r="1358" spans="1:8" ht="18.75" x14ac:dyDescent="0.2">
      <c r="A1358" s="3" t="str">
        <f t="shared" si="168"/>
        <v>98/11/26</v>
      </c>
      <c r="B1358" s="3" t="str">
        <f t="shared" si="169"/>
        <v>كالاهاي مصرفي</v>
      </c>
      <c r="C1358" s="3" t="str">
        <f t="shared" si="170"/>
        <v>انبار مصرفي ZU1</v>
      </c>
      <c r="D1358" s="3" t="str">
        <f>"0204001717"</f>
        <v>0204001717</v>
      </c>
      <c r="E1358" s="3" t="str">
        <f>"بيرينگ NU 312"</f>
        <v>بيرينگ NU 312</v>
      </c>
      <c r="F1358" s="3" t="str">
        <f>"عدد"</f>
        <v>عدد</v>
      </c>
      <c r="G1358" s="3">
        <v>3</v>
      </c>
      <c r="H1358" s="5">
        <v>9600000</v>
      </c>
    </row>
    <row r="1359" spans="1:8" ht="18.75" x14ac:dyDescent="0.2">
      <c r="A1359" s="3" t="str">
        <f t="shared" si="168"/>
        <v>98/11/26</v>
      </c>
      <c r="B1359" s="3" t="str">
        <f t="shared" si="169"/>
        <v>كالاهاي مصرفي</v>
      </c>
      <c r="C1359" s="3" t="str">
        <f t="shared" si="170"/>
        <v>انبار مصرفي ZU1</v>
      </c>
      <c r="D1359" s="3" t="str">
        <f>"0303000258"</f>
        <v>0303000258</v>
      </c>
      <c r="E1359" s="3" t="str">
        <f>"مانومتر(60-0) bar"</f>
        <v>مانومتر(60-0) bar</v>
      </c>
      <c r="F1359" s="3" t="str">
        <f>"دستگاه"</f>
        <v>دستگاه</v>
      </c>
      <c r="G1359" s="3">
        <v>4</v>
      </c>
      <c r="H1359" s="5">
        <v>9600000</v>
      </c>
    </row>
    <row r="1360" spans="1:8" ht="18.75" x14ac:dyDescent="0.2">
      <c r="A1360" s="3" t="str">
        <f t="shared" si="168"/>
        <v>98/11/26</v>
      </c>
      <c r="B1360" s="3" t="str">
        <f t="shared" si="169"/>
        <v>كالاهاي مصرفي</v>
      </c>
      <c r="C1360" s="3" t="str">
        <f>"انبار مركزي ( عمومي )"</f>
        <v>انبار مركزي ( عمومي )</v>
      </c>
      <c r="D1360" s="3" t="str">
        <f>"0903000067"</f>
        <v>0903000067</v>
      </c>
      <c r="E1360" s="3" t="str">
        <f>"پيگتيل فيبر نوري"</f>
        <v>پيگتيل فيبر نوري</v>
      </c>
      <c r="F1360" s="3" t="str">
        <f>"عدد"</f>
        <v>عدد</v>
      </c>
      <c r="G1360" s="3">
        <v>24</v>
      </c>
      <c r="H1360" s="5">
        <v>9600000</v>
      </c>
    </row>
    <row r="1361" spans="1:8" ht="18.75" x14ac:dyDescent="0.2">
      <c r="A1361" s="3" t="str">
        <f t="shared" si="168"/>
        <v>98/11/26</v>
      </c>
      <c r="B1361" s="3" t="str">
        <f t="shared" si="169"/>
        <v>كالاهاي مصرفي</v>
      </c>
      <c r="C1361" s="3" t="str">
        <f>"انبار مصرفي ZU1"</f>
        <v>انبار مصرفي ZU1</v>
      </c>
      <c r="D1361" s="3" t="str">
        <f>"0204000702"</f>
        <v>0204000702</v>
      </c>
      <c r="E1361" s="3" t="str">
        <f>"كاسه نمد Mild Steel 150*120*13 AIB"</f>
        <v>كاسه نمد Mild Steel 150*120*13 AIB</v>
      </c>
      <c r="F1361" s="3" t="str">
        <f>"عدد"</f>
        <v>عدد</v>
      </c>
      <c r="G1361" s="3">
        <v>20</v>
      </c>
      <c r="H1361" s="5">
        <v>9680000</v>
      </c>
    </row>
    <row r="1362" spans="1:8" ht="18.75" x14ac:dyDescent="0.2">
      <c r="A1362" s="3" t="str">
        <f t="shared" si="168"/>
        <v>98/11/26</v>
      </c>
      <c r="B1362" s="3" t="str">
        <f t="shared" si="169"/>
        <v>كالاهاي مصرفي</v>
      </c>
      <c r="C1362" s="3" t="str">
        <f>"انبار مركزي ( عمومي )"</f>
        <v>انبار مركزي ( عمومي )</v>
      </c>
      <c r="D1362" s="3" t="str">
        <f>"0101000044"</f>
        <v>0101000044</v>
      </c>
      <c r="E1362" s="3" t="str">
        <f>"سيم آرماتوربندي نمره 2.5"</f>
        <v>سيم آرماتوربندي نمره 2.5</v>
      </c>
      <c r="F1362" s="3" t="str">
        <f>"کيلوگرم"</f>
        <v>کيلوگرم</v>
      </c>
      <c r="G1362" s="3">
        <v>100</v>
      </c>
      <c r="H1362" s="5">
        <v>9700000</v>
      </c>
    </row>
    <row r="1363" spans="1:8" ht="18.75" x14ac:dyDescent="0.2">
      <c r="A1363" s="3" t="str">
        <f t="shared" si="168"/>
        <v>98/11/26</v>
      </c>
      <c r="B1363" s="3" t="str">
        <f t="shared" si="169"/>
        <v>كالاهاي مصرفي</v>
      </c>
      <c r="C1363" s="3" t="str">
        <f>"انبار مصرفي ZU1"</f>
        <v>انبار مصرفي ZU1</v>
      </c>
      <c r="D1363" s="3" t="str">
        <f>"0204000386"</f>
        <v>0204000386</v>
      </c>
      <c r="E1363" s="3" t="str">
        <f>"بيرينگ NJ307-ECJ"</f>
        <v>بيرينگ NJ307-ECJ</v>
      </c>
      <c r="F1363" s="3" t="str">
        <f t="shared" ref="F1363:F1370" si="171">"عدد"</f>
        <v>عدد</v>
      </c>
      <c r="G1363" s="3">
        <v>9</v>
      </c>
      <c r="H1363" s="5">
        <v>9714317</v>
      </c>
    </row>
    <row r="1364" spans="1:8" ht="18.75" x14ac:dyDescent="0.2">
      <c r="A1364" s="3" t="str">
        <f t="shared" si="168"/>
        <v>98/11/26</v>
      </c>
      <c r="B1364" s="3" t="str">
        <f t="shared" si="169"/>
        <v>كالاهاي مصرفي</v>
      </c>
      <c r="C1364" s="3" t="str">
        <f>"انبار مركزي ( عمومي )"</f>
        <v>انبار مركزي ( عمومي )</v>
      </c>
      <c r="D1364" s="3" t="str">
        <f>"0107000019"</f>
        <v>0107000019</v>
      </c>
      <c r="E1364" s="3" t="str">
        <f>"مايع شيشه پاک كن 500 گرمي"</f>
        <v>مايع شيشه پاک كن 500 گرمي</v>
      </c>
      <c r="F1364" s="3" t="str">
        <f t="shared" si="171"/>
        <v>عدد</v>
      </c>
      <c r="G1364" s="3">
        <v>10</v>
      </c>
      <c r="H1364" s="5">
        <v>9790000</v>
      </c>
    </row>
    <row r="1365" spans="1:8" ht="18.75" x14ac:dyDescent="0.2">
      <c r="A1365" s="3" t="str">
        <f t="shared" si="168"/>
        <v>98/11/26</v>
      </c>
      <c r="B1365" s="3" t="str">
        <f t="shared" si="169"/>
        <v>كالاهاي مصرفي</v>
      </c>
      <c r="C1365" s="3" t="str">
        <f>"انبار مركزي ( عمومي )"</f>
        <v>انبار مركزي ( عمومي )</v>
      </c>
      <c r="D1365" s="3" t="str">
        <f>"0906000154"</f>
        <v>0906000154</v>
      </c>
      <c r="E1365" s="3" t="str">
        <f>"كابل HDMI"</f>
        <v>كابل HDMI</v>
      </c>
      <c r="F1365" s="3" t="str">
        <f t="shared" si="171"/>
        <v>عدد</v>
      </c>
      <c r="G1365" s="3">
        <v>14</v>
      </c>
      <c r="H1365" s="5">
        <v>9791200</v>
      </c>
    </row>
    <row r="1366" spans="1:8" ht="18.75" x14ac:dyDescent="0.2">
      <c r="A1366" s="3" t="str">
        <f t="shared" si="168"/>
        <v>98/11/26</v>
      </c>
      <c r="B1366" s="3" t="str">
        <f t="shared" si="169"/>
        <v>كالاهاي مصرفي</v>
      </c>
      <c r="C1366" s="3" t="str">
        <f>"انبار مصرفي ZU1"</f>
        <v>انبار مصرفي ZU1</v>
      </c>
      <c r="D1366" s="3" t="str">
        <f>"0204001339"</f>
        <v>0204001339</v>
      </c>
      <c r="E1366" s="3" t="str">
        <f>"اورينگ HNBR 455*6.0"</f>
        <v>اورينگ HNBR 455*6.0</v>
      </c>
      <c r="F1366" s="3" t="str">
        <f t="shared" si="171"/>
        <v>عدد</v>
      </c>
      <c r="G1366" s="3">
        <v>12</v>
      </c>
      <c r="H1366" s="5">
        <v>9792000</v>
      </c>
    </row>
    <row r="1367" spans="1:8" ht="18.75" x14ac:dyDescent="0.2">
      <c r="A1367" s="3" t="str">
        <f t="shared" si="168"/>
        <v>98/11/26</v>
      </c>
      <c r="B1367" s="3" t="str">
        <f t="shared" si="169"/>
        <v>كالاهاي مصرفي</v>
      </c>
      <c r="C1367" s="3" t="str">
        <f>"انبار مركزي ( عمومي )"</f>
        <v>انبار مركزي ( عمومي )</v>
      </c>
      <c r="D1367" s="3" t="str">
        <f>"0107000014"</f>
        <v>0107000014</v>
      </c>
      <c r="E1367" s="3" t="str">
        <f>"مايع سفيد كننده يك ليتري"</f>
        <v>مايع سفيد كننده يك ليتري</v>
      </c>
      <c r="F1367" s="3" t="str">
        <f t="shared" si="171"/>
        <v>عدد</v>
      </c>
      <c r="G1367" s="3">
        <v>200</v>
      </c>
      <c r="H1367" s="5">
        <v>9800000</v>
      </c>
    </row>
    <row r="1368" spans="1:8" ht="18.75" x14ac:dyDescent="0.2">
      <c r="A1368" s="3" t="str">
        <f t="shared" si="168"/>
        <v>98/11/26</v>
      </c>
      <c r="B1368" s="3" t="str">
        <f t="shared" si="169"/>
        <v>كالاهاي مصرفي</v>
      </c>
      <c r="C1368" s="3" t="str">
        <f t="shared" ref="C1368:C1377" si="172">"انبار مصرفي ZU1"</f>
        <v>انبار مصرفي ZU1</v>
      </c>
      <c r="D1368" s="3" t="str">
        <f>"0204001395"</f>
        <v>0204001395</v>
      </c>
      <c r="E1368" s="3" t="str">
        <f>"اورينگ HNBR 76*2"</f>
        <v>اورينگ HNBR 76*2</v>
      </c>
      <c r="F1368" s="3" t="str">
        <f t="shared" si="171"/>
        <v>عدد</v>
      </c>
      <c r="G1368" s="3">
        <v>50</v>
      </c>
      <c r="H1368" s="5">
        <v>9887500</v>
      </c>
    </row>
    <row r="1369" spans="1:8" ht="18.75" x14ac:dyDescent="0.2">
      <c r="A1369" s="3" t="str">
        <f t="shared" si="168"/>
        <v>98/11/26</v>
      </c>
      <c r="B1369" s="3" t="str">
        <f t="shared" si="169"/>
        <v>كالاهاي مصرفي</v>
      </c>
      <c r="C1369" s="3" t="str">
        <f t="shared" si="172"/>
        <v>انبار مصرفي ZU1</v>
      </c>
      <c r="D1369" s="3" t="str">
        <f>"0213000435"</f>
        <v>0213000435</v>
      </c>
      <c r="E1369" s="3" t="str">
        <f>"پيچ گوشواره اي M24*6"</f>
        <v>پيچ گوشواره اي M24*6</v>
      </c>
      <c r="F1369" s="3" t="str">
        <f t="shared" si="171"/>
        <v>عدد</v>
      </c>
      <c r="G1369" s="3">
        <v>50</v>
      </c>
      <c r="H1369" s="5">
        <v>9892857</v>
      </c>
    </row>
    <row r="1370" spans="1:8" ht="18.75" x14ac:dyDescent="0.2">
      <c r="A1370" s="3" t="str">
        <f t="shared" si="168"/>
        <v>98/11/26</v>
      </c>
      <c r="B1370" s="3" t="str">
        <f t="shared" si="169"/>
        <v>كالاهاي مصرفي</v>
      </c>
      <c r="C1370" s="3" t="str">
        <f t="shared" si="172"/>
        <v>انبار مصرفي ZU1</v>
      </c>
      <c r="D1370" s="3" t="str">
        <f>"0204002095"</f>
        <v>0204002095</v>
      </c>
      <c r="E1370" s="3" t="str">
        <f>"بيرينگ H310"</f>
        <v>بيرينگ H310</v>
      </c>
      <c r="F1370" s="3" t="str">
        <f t="shared" si="171"/>
        <v>عدد</v>
      </c>
      <c r="G1370" s="3">
        <v>6</v>
      </c>
      <c r="H1370" s="5">
        <v>9900000</v>
      </c>
    </row>
    <row r="1371" spans="1:8" ht="18.75" x14ac:dyDescent="0.2">
      <c r="A1371" s="3" t="str">
        <f t="shared" si="168"/>
        <v>98/11/26</v>
      </c>
      <c r="B1371" s="3" t="str">
        <f t="shared" si="169"/>
        <v>كالاهاي مصرفي</v>
      </c>
      <c r="C1371" s="3" t="str">
        <f t="shared" si="172"/>
        <v>انبار مصرفي ZU1</v>
      </c>
      <c r="D1371" s="3" t="str">
        <f>"0213000347"</f>
        <v>0213000347</v>
      </c>
      <c r="E1371" s="3" t="str">
        <f>"سمباده رولي  P80"</f>
        <v>سمباده رولي  P80</v>
      </c>
      <c r="F1371" s="3" t="str">
        <f>"حلقه"</f>
        <v>حلقه</v>
      </c>
      <c r="G1371" s="3">
        <v>3</v>
      </c>
      <c r="H1371" s="5">
        <v>9900000</v>
      </c>
    </row>
    <row r="1372" spans="1:8" ht="18.75" x14ac:dyDescent="0.2">
      <c r="A1372" s="3" t="str">
        <f t="shared" si="168"/>
        <v>98/11/26</v>
      </c>
      <c r="B1372" s="3" t="str">
        <f t="shared" si="169"/>
        <v>كالاهاي مصرفي</v>
      </c>
      <c r="C1372" s="3" t="str">
        <f t="shared" si="172"/>
        <v>انبار مصرفي ZU1</v>
      </c>
      <c r="D1372" s="3" t="str">
        <f>"0213001038"</f>
        <v>0213001038</v>
      </c>
      <c r="E1372" s="3" t="str">
        <f>"سمباده رولي P100"</f>
        <v>سمباده رولي P100</v>
      </c>
      <c r="F1372" s="3" t="str">
        <f t="shared" ref="F1372:F1383" si="173">"عدد"</f>
        <v>عدد</v>
      </c>
      <c r="G1372" s="3">
        <v>3</v>
      </c>
      <c r="H1372" s="5">
        <v>9900000</v>
      </c>
    </row>
    <row r="1373" spans="1:8" ht="18.75" x14ac:dyDescent="0.2">
      <c r="A1373" s="3" t="str">
        <f t="shared" si="168"/>
        <v>98/11/26</v>
      </c>
      <c r="B1373" s="3" t="str">
        <f t="shared" si="169"/>
        <v>كالاهاي مصرفي</v>
      </c>
      <c r="C1373" s="3" t="str">
        <f t="shared" si="172"/>
        <v>انبار مصرفي ZU1</v>
      </c>
      <c r="D1373" s="3" t="str">
        <f>"0204000964"</f>
        <v>0204000964</v>
      </c>
      <c r="E1373" s="3" t="str">
        <f>"بيرينگ 1218"</f>
        <v>بيرينگ 1218</v>
      </c>
      <c r="F1373" s="3" t="str">
        <f t="shared" si="173"/>
        <v>عدد</v>
      </c>
      <c r="G1373" s="3">
        <v>3</v>
      </c>
      <c r="H1373" s="5">
        <v>9921000</v>
      </c>
    </row>
    <row r="1374" spans="1:8" ht="18.75" x14ac:dyDescent="0.2">
      <c r="A1374" s="3" t="str">
        <f t="shared" si="168"/>
        <v>98/11/26</v>
      </c>
      <c r="B1374" s="3" t="str">
        <f t="shared" si="169"/>
        <v>كالاهاي مصرفي</v>
      </c>
      <c r="C1374" s="3" t="str">
        <f t="shared" si="172"/>
        <v>انبار مصرفي ZU1</v>
      </c>
      <c r="D1374" s="3" t="str">
        <f>"0204000569"</f>
        <v>0204000569</v>
      </c>
      <c r="E1374" s="3" t="str">
        <f>"بيرينگ C4-  6214"</f>
        <v>بيرينگ C4-  6214</v>
      </c>
      <c r="F1374" s="3" t="str">
        <f t="shared" si="173"/>
        <v>عدد</v>
      </c>
      <c r="G1374" s="3">
        <v>9</v>
      </c>
      <c r="H1374" s="5">
        <v>9945000</v>
      </c>
    </row>
    <row r="1375" spans="1:8" ht="18.75" x14ac:dyDescent="0.2">
      <c r="A1375" s="3" t="str">
        <f t="shared" si="168"/>
        <v>98/11/26</v>
      </c>
      <c r="B1375" s="3" t="str">
        <f t="shared" si="169"/>
        <v>كالاهاي مصرفي</v>
      </c>
      <c r="C1375" s="3" t="str">
        <f t="shared" si="172"/>
        <v>انبار مصرفي ZU1</v>
      </c>
      <c r="D1375" s="3" t="str">
        <f>"0204001897"</f>
        <v>0204001897</v>
      </c>
      <c r="E1375" s="3" t="str">
        <f>"كاسه نمد Mild Steel 130*160*13AIB"</f>
        <v>كاسه نمد Mild Steel 130*160*13AIB</v>
      </c>
      <c r="F1375" s="3" t="str">
        <f t="shared" si="173"/>
        <v>عدد</v>
      </c>
      <c r="G1375" s="3">
        <v>18</v>
      </c>
      <c r="H1375" s="5">
        <v>9990000</v>
      </c>
    </row>
    <row r="1376" spans="1:8" ht="18.75" x14ac:dyDescent="0.2">
      <c r="A1376" s="3" t="str">
        <f t="shared" si="168"/>
        <v>98/11/26</v>
      </c>
      <c r="B1376" s="3" t="str">
        <f t="shared" si="169"/>
        <v>كالاهاي مصرفي</v>
      </c>
      <c r="C1376" s="3" t="str">
        <f t="shared" si="172"/>
        <v>انبار مصرفي ZU1</v>
      </c>
      <c r="D1376" s="3" t="str">
        <f>"0204001246"</f>
        <v>0204001246</v>
      </c>
      <c r="E1376" s="3" t="str">
        <f>"كوپلر هيدروليك 1/2 اينچ"</f>
        <v>كوپلر هيدروليك 1/2 اينچ</v>
      </c>
      <c r="F1376" s="3" t="str">
        <f t="shared" si="173"/>
        <v>عدد</v>
      </c>
      <c r="G1376" s="3">
        <v>4</v>
      </c>
      <c r="H1376" s="5">
        <v>10000000</v>
      </c>
    </row>
    <row r="1377" spans="1:8" ht="18.75" x14ac:dyDescent="0.2">
      <c r="A1377" s="3" t="str">
        <f t="shared" si="168"/>
        <v>98/11/26</v>
      </c>
      <c r="B1377" s="3" t="str">
        <f t="shared" si="169"/>
        <v>كالاهاي مصرفي</v>
      </c>
      <c r="C1377" s="3" t="str">
        <f t="shared" si="172"/>
        <v>انبار مصرفي ZU1</v>
      </c>
      <c r="D1377" s="3" t="str">
        <f>"0204001751"</f>
        <v>0204001751</v>
      </c>
      <c r="E1377" s="3" t="str">
        <f>"بيرينگ NJ 308 ECJ"</f>
        <v>بيرينگ NJ 308 ECJ</v>
      </c>
      <c r="F1377" s="3" t="str">
        <f t="shared" si="173"/>
        <v>عدد</v>
      </c>
      <c r="G1377" s="3">
        <v>2</v>
      </c>
      <c r="H1377" s="5">
        <v>10000000</v>
      </c>
    </row>
    <row r="1378" spans="1:8" ht="18.75" x14ac:dyDescent="0.2">
      <c r="A1378" s="3" t="str">
        <f t="shared" si="168"/>
        <v>98/11/26</v>
      </c>
      <c r="B1378" s="3" t="str">
        <f t="shared" si="169"/>
        <v>كالاهاي مصرفي</v>
      </c>
      <c r="C1378" s="3" t="str">
        <f>"انبار مركزي ( عمومي )"</f>
        <v>انبار مركزي ( عمومي )</v>
      </c>
      <c r="D1378" s="3" t="str">
        <f>"0211001192"</f>
        <v>0211001192</v>
      </c>
      <c r="E1378" s="3" t="str">
        <f>"انگشتي  نمره 50"</f>
        <v>انگشتي  نمره 50</v>
      </c>
      <c r="F1378" s="3" t="str">
        <f t="shared" si="173"/>
        <v>عدد</v>
      </c>
      <c r="G1378" s="3">
        <v>100</v>
      </c>
      <c r="H1378" s="5">
        <v>10000000</v>
      </c>
    </row>
    <row r="1379" spans="1:8" ht="18.75" x14ac:dyDescent="0.2">
      <c r="A1379" s="3" t="str">
        <f t="shared" si="168"/>
        <v>98/11/26</v>
      </c>
      <c r="B1379" s="3" t="str">
        <f t="shared" si="169"/>
        <v>كالاهاي مصرفي</v>
      </c>
      <c r="C1379" s="3" t="str">
        <f>"انبار مركزي ( عمومي )"</f>
        <v>انبار مركزي ( عمومي )</v>
      </c>
      <c r="D1379" s="3" t="str">
        <f>"0213000904"</f>
        <v>0213000904</v>
      </c>
      <c r="E1379" s="3" t="str">
        <f>"سمباده انگشتي P320 -40*20*6mm"</f>
        <v>سمباده انگشتي P320 -40*20*6mm</v>
      </c>
      <c r="F1379" s="3" t="str">
        <f t="shared" si="173"/>
        <v>عدد</v>
      </c>
      <c r="G1379" s="3">
        <v>200</v>
      </c>
      <c r="H1379" s="5">
        <v>10000000</v>
      </c>
    </row>
    <row r="1380" spans="1:8" ht="18.75" x14ac:dyDescent="0.2">
      <c r="A1380" s="3" t="str">
        <f t="shared" si="168"/>
        <v>98/11/26</v>
      </c>
      <c r="B1380" s="3" t="str">
        <f t="shared" si="169"/>
        <v>كالاهاي مصرفي</v>
      </c>
      <c r="C1380" s="3" t="str">
        <f>"انبار مركزي ( عمومي )"</f>
        <v>انبار مركزي ( عمومي )</v>
      </c>
      <c r="D1380" s="3" t="str">
        <f>"0906000348"</f>
        <v>0906000348</v>
      </c>
      <c r="E1380" s="3" t="str">
        <f>"پريز Rj45 Cat6 UTP جهت نصب در تراكينگ"</f>
        <v>پريز Rj45 Cat6 UTP جهت نصب در تراكينگ</v>
      </c>
      <c r="F1380" s="3" t="str">
        <f t="shared" si="173"/>
        <v>عدد</v>
      </c>
      <c r="G1380" s="3">
        <v>20</v>
      </c>
      <c r="H1380" s="5">
        <v>10000000</v>
      </c>
    </row>
    <row r="1381" spans="1:8" ht="18.75" x14ac:dyDescent="0.2">
      <c r="A1381" s="3" t="str">
        <f t="shared" si="168"/>
        <v>98/11/26</v>
      </c>
      <c r="B1381" s="3" t="str">
        <f t="shared" si="169"/>
        <v>كالاهاي مصرفي</v>
      </c>
      <c r="C1381" s="3" t="str">
        <f>"انبار مصرفي ZU1"</f>
        <v>انبار مصرفي ZU1</v>
      </c>
      <c r="D1381" s="3" t="str">
        <f>"0204001682"</f>
        <v>0204001682</v>
      </c>
      <c r="E1381" s="3" t="str">
        <f>"اورينگ HNBR 420*5.8"</f>
        <v>اورينگ HNBR 420*5.8</v>
      </c>
      <c r="F1381" s="3" t="str">
        <f t="shared" si="173"/>
        <v>عدد</v>
      </c>
      <c r="G1381" s="3">
        <v>10</v>
      </c>
      <c r="H1381" s="5">
        <v>10012500</v>
      </c>
    </row>
    <row r="1382" spans="1:8" ht="18.75" x14ac:dyDescent="0.2">
      <c r="A1382" s="3" t="str">
        <f t="shared" si="168"/>
        <v>98/11/26</v>
      </c>
      <c r="B1382" s="3" t="str">
        <f t="shared" si="169"/>
        <v>كالاهاي مصرفي</v>
      </c>
      <c r="C1382" s="3" t="str">
        <f>"انبار مصرفي ZU1"</f>
        <v>انبار مصرفي ZU1</v>
      </c>
      <c r="D1382" s="3" t="str">
        <f>"0204000121"</f>
        <v>0204000121</v>
      </c>
      <c r="E1382" s="3" t="str">
        <f>"بوش H 318"</f>
        <v>بوش H 318</v>
      </c>
      <c r="F1382" s="3" t="str">
        <f t="shared" si="173"/>
        <v>عدد</v>
      </c>
      <c r="G1382" s="3">
        <v>3</v>
      </c>
      <c r="H1382" s="5">
        <v>10020000</v>
      </c>
    </row>
    <row r="1383" spans="1:8" ht="18.75" x14ac:dyDescent="0.2">
      <c r="A1383" s="3" t="str">
        <f t="shared" si="168"/>
        <v>98/11/26</v>
      </c>
      <c r="B1383" s="3" t="str">
        <f t="shared" si="169"/>
        <v>كالاهاي مصرفي</v>
      </c>
      <c r="C1383" s="3" t="str">
        <f>"انبار مركزي ( عمومي )"</f>
        <v>انبار مركزي ( عمومي )</v>
      </c>
      <c r="D1383" s="3" t="str">
        <f>"0105000141"</f>
        <v>0105000141</v>
      </c>
      <c r="E1383" s="3" t="str">
        <f>"اسپري روان کننده همه کاره"</f>
        <v>اسپري روان کننده همه کاره</v>
      </c>
      <c r="F1383" s="3" t="str">
        <f t="shared" si="173"/>
        <v>عدد</v>
      </c>
      <c r="G1383" s="3">
        <v>34</v>
      </c>
      <c r="H1383" s="5">
        <v>10030000</v>
      </c>
    </row>
    <row r="1384" spans="1:8" ht="18.75" x14ac:dyDescent="0.2">
      <c r="A1384" s="3" t="str">
        <f t="shared" si="168"/>
        <v>98/11/26</v>
      </c>
      <c r="B1384" s="3" t="str">
        <f t="shared" si="169"/>
        <v>كالاهاي مصرفي</v>
      </c>
      <c r="C1384" s="3" t="str">
        <f t="shared" ref="C1384:C1389" si="174">"انبار مصرفي ZU1"</f>
        <v>انبار مصرفي ZU1</v>
      </c>
      <c r="D1384" s="3" t="str">
        <f>"0204001762"</f>
        <v>0204001762</v>
      </c>
      <c r="E1384" s="3" t="str">
        <f>"اورينگ وايتون ضخامت 5 ميليمتر"</f>
        <v>اورينگ وايتون ضخامت 5 ميليمتر</v>
      </c>
      <c r="F1384" s="3" t="str">
        <f>"متر"</f>
        <v>متر</v>
      </c>
      <c r="G1384" s="3">
        <v>20</v>
      </c>
      <c r="H1384" s="5">
        <v>10040000</v>
      </c>
    </row>
    <row r="1385" spans="1:8" ht="18.75" x14ac:dyDescent="0.2">
      <c r="A1385" s="3" t="str">
        <f t="shared" si="168"/>
        <v>98/11/26</v>
      </c>
      <c r="B1385" s="3" t="str">
        <f t="shared" si="169"/>
        <v>كالاهاي مصرفي</v>
      </c>
      <c r="C1385" s="3" t="str">
        <f t="shared" si="174"/>
        <v>انبار مصرفي ZU1</v>
      </c>
      <c r="D1385" s="3" t="str">
        <f>"0204000802"</f>
        <v>0204000802</v>
      </c>
      <c r="E1385" s="3" t="str">
        <f>"ورق لاستيك منجيددار ضخامت 2 ميليمتر"</f>
        <v>ورق لاستيك منجيددار ضخامت 2 ميليمتر</v>
      </c>
      <c r="F1385" s="3" t="str">
        <f>"کيلوگرم"</f>
        <v>کيلوگرم</v>
      </c>
      <c r="G1385" s="3">
        <v>112</v>
      </c>
      <c r="H1385" s="5">
        <v>10060000</v>
      </c>
    </row>
    <row r="1386" spans="1:8" ht="18.75" x14ac:dyDescent="0.2">
      <c r="A1386" s="3" t="str">
        <f t="shared" si="168"/>
        <v>98/11/26</v>
      </c>
      <c r="B1386" s="3" t="str">
        <f t="shared" si="169"/>
        <v>كالاهاي مصرفي</v>
      </c>
      <c r="C1386" s="3" t="str">
        <f t="shared" si="174"/>
        <v>انبار مصرفي ZU1</v>
      </c>
      <c r="D1386" s="3" t="str">
        <f>"0204000999"</f>
        <v>0204000999</v>
      </c>
      <c r="E1386" s="3" t="str">
        <f>"بيرينگ 6310 2RS/C3"</f>
        <v>بيرينگ 6310 2RS/C3</v>
      </c>
      <c r="F1386" s="3" t="str">
        <f>"عدد"</f>
        <v>عدد</v>
      </c>
      <c r="G1386" s="3">
        <v>21</v>
      </c>
      <c r="H1386" s="5">
        <v>10098000</v>
      </c>
    </row>
    <row r="1387" spans="1:8" ht="18.75" x14ac:dyDescent="0.2">
      <c r="A1387" s="3" t="str">
        <f t="shared" si="168"/>
        <v>98/11/26</v>
      </c>
      <c r="B1387" s="3" t="str">
        <f t="shared" si="169"/>
        <v>كالاهاي مصرفي</v>
      </c>
      <c r="C1387" s="3" t="str">
        <f t="shared" si="174"/>
        <v>انبار مصرفي ZU1</v>
      </c>
      <c r="D1387" s="3" t="str">
        <f>"0204000713"</f>
        <v>0204000713</v>
      </c>
      <c r="E1387" s="3" t="str">
        <f>"كاسه نمد Mild Steel 64*90*13 AIB"</f>
        <v>كاسه نمد Mild Steel 64*90*13 AIB</v>
      </c>
      <c r="F1387" s="3" t="str">
        <f>"عدد"</f>
        <v>عدد</v>
      </c>
      <c r="G1387" s="3">
        <v>20</v>
      </c>
      <c r="H1387" s="5">
        <v>10120000</v>
      </c>
    </row>
    <row r="1388" spans="1:8" ht="18.75" x14ac:dyDescent="0.2">
      <c r="A1388" s="3" t="str">
        <f t="shared" si="168"/>
        <v>98/11/26</v>
      </c>
      <c r="B1388" s="3" t="str">
        <f t="shared" si="169"/>
        <v>كالاهاي مصرفي</v>
      </c>
      <c r="C1388" s="3" t="str">
        <f t="shared" si="174"/>
        <v>انبار مصرفي ZU1</v>
      </c>
      <c r="D1388" s="3" t="str">
        <f>"0213000217"</f>
        <v>0213000217</v>
      </c>
      <c r="E1388" s="3" t="str">
        <f>"پيچ دوسر رزوه M30*140"</f>
        <v>پيچ دوسر رزوه M30*140</v>
      </c>
      <c r="F1388" s="3" t="str">
        <f>"عدد"</f>
        <v>عدد</v>
      </c>
      <c r="G1388" s="3">
        <v>76</v>
      </c>
      <c r="H1388" s="5">
        <v>10166267</v>
      </c>
    </row>
    <row r="1389" spans="1:8" ht="18.75" x14ac:dyDescent="0.2">
      <c r="A1389" s="3" t="str">
        <f t="shared" si="168"/>
        <v>98/11/26</v>
      </c>
      <c r="B1389" s="3" t="str">
        <f t="shared" si="169"/>
        <v>كالاهاي مصرفي</v>
      </c>
      <c r="C1389" s="3" t="str">
        <f t="shared" si="174"/>
        <v>انبار مصرفي ZU1</v>
      </c>
      <c r="D1389" s="3" t="str">
        <f>"0204001608"</f>
        <v>0204001608</v>
      </c>
      <c r="E1389" s="3" t="str">
        <f>"بيرينگ 413 NU"</f>
        <v>بيرينگ 413 NU</v>
      </c>
      <c r="F1389" s="3" t="str">
        <f>"عدد"</f>
        <v>عدد</v>
      </c>
      <c r="G1389" s="3">
        <v>2</v>
      </c>
      <c r="H1389" s="5">
        <v>10200000</v>
      </c>
    </row>
    <row r="1390" spans="1:8" ht="18.75" x14ac:dyDescent="0.2">
      <c r="A1390" s="3" t="str">
        <f t="shared" si="168"/>
        <v>98/11/26</v>
      </c>
      <c r="B1390" s="3" t="str">
        <f t="shared" si="169"/>
        <v>كالاهاي مصرفي</v>
      </c>
      <c r="C1390" s="3" t="str">
        <f>"انبار مركزي ( عمومي )"</f>
        <v>انبار مركزي ( عمومي )</v>
      </c>
      <c r="D1390" s="3" t="str">
        <f>"0601000036"</f>
        <v>0601000036</v>
      </c>
      <c r="E1390" s="3" t="str">
        <f>"گوشي صداگير بند دار ( 3M )"</f>
        <v>گوشي صداگير بند دار ( 3M )</v>
      </c>
      <c r="F1390" s="3" t="str">
        <f>"عدد"</f>
        <v>عدد</v>
      </c>
      <c r="G1390" s="3">
        <v>270</v>
      </c>
      <c r="H1390" s="5">
        <v>10238408</v>
      </c>
    </row>
    <row r="1391" spans="1:8" ht="18.75" x14ac:dyDescent="0.2">
      <c r="A1391" s="3" t="str">
        <f t="shared" si="168"/>
        <v>98/11/26</v>
      </c>
      <c r="B1391" s="3" t="str">
        <f t="shared" si="169"/>
        <v>كالاهاي مصرفي</v>
      </c>
      <c r="C1391" s="3" t="str">
        <f>"انبار مصرفي ZU1"</f>
        <v>انبار مصرفي ZU1</v>
      </c>
      <c r="D1391" s="3" t="str">
        <f>"0214000412"</f>
        <v>0214000412</v>
      </c>
      <c r="E1391" s="3" t="s">
        <v>8</v>
      </c>
      <c r="F1391" s="3" t="str">
        <f>"کيلوگرم"</f>
        <v>کيلوگرم</v>
      </c>
      <c r="G1391" s="3">
        <v>4.66</v>
      </c>
      <c r="H1391" s="5">
        <v>10252000</v>
      </c>
    </row>
    <row r="1392" spans="1:8" ht="18.75" x14ac:dyDescent="0.2">
      <c r="A1392" s="3" t="str">
        <f t="shared" si="168"/>
        <v>98/11/26</v>
      </c>
      <c r="B1392" s="3" t="str">
        <f t="shared" si="169"/>
        <v>كالاهاي مصرفي</v>
      </c>
      <c r="C1392" s="3" t="str">
        <f>"انبار مركزي ( عمومي )"</f>
        <v>انبار مركزي ( عمومي )</v>
      </c>
      <c r="D1392" s="3" t="str">
        <f>"0906000288"</f>
        <v>0906000288</v>
      </c>
      <c r="E1392" s="3" t="str">
        <f>"مبدل DVI به VGA"</f>
        <v>مبدل DVI به VGA</v>
      </c>
      <c r="F1392" s="3" t="str">
        <f>"عدد"</f>
        <v>عدد</v>
      </c>
      <c r="G1392" s="3">
        <v>40</v>
      </c>
      <c r="H1392" s="5">
        <v>10330466</v>
      </c>
    </row>
    <row r="1393" spans="1:8" ht="18.75" x14ac:dyDescent="0.2">
      <c r="A1393" s="3" t="str">
        <f t="shared" si="168"/>
        <v>98/11/26</v>
      </c>
      <c r="B1393" s="3" t="str">
        <f t="shared" si="169"/>
        <v>كالاهاي مصرفي</v>
      </c>
      <c r="C1393" s="3" t="str">
        <f>"انبار مصرفي ZU1"</f>
        <v>انبار مصرفي ZU1</v>
      </c>
      <c r="D1393" s="3" t="str">
        <f>"0204000380"</f>
        <v>0204000380</v>
      </c>
      <c r="E1393" s="3" t="str">
        <f>"بيرينگ NJ204-ECP"</f>
        <v>بيرينگ NJ204-ECP</v>
      </c>
      <c r="F1393" s="3" t="str">
        <f>"عدد"</f>
        <v>عدد</v>
      </c>
      <c r="G1393" s="3">
        <v>18</v>
      </c>
      <c r="H1393" s="5">
        <v>10345556</v>
      </c>
    </row>
    <row r="1394" spans="1:8" ht="18.75" x14ac:dyDescent="0.2">
      <c r="A1394" s="3" t="str">
        <f t="shared" si="168"/>
        <v>98/11/26</v>
      </c>
      <c r="B1394" s="3" t="str">
        <f t="shared" si="169"/>
        <v>كالاهاي مصرفي</v>
      </c>
      <c r="C1394" s="3" t="str">
        <f>"انبار مركزي ( عمومي )"</f>
        <v>انبار مركزي ( عمومي )</v>
      </c>
      <c r="D1394" s="3" t="str">
        <f>"0213000817"</f>
        <v>0213000817</v>
      </c>
      <c r="E1394" s="3" t="str">
        <f>"پوساب P60 معمولي"</f>
        <v>پوساب P60 معمولي</v>
      </c>
      <c r="F1394" s="3" t="str">
        <f>"برگ"</f>
        <v>برگ</v>
      </c>
      <c r="G1394" s="3">
        <v>269</v>
      </c>
      <c r="H1394" s="5">
        <v>10356500</v>
      </c>
    </row>
    <row r="1395" spans="1:8" ht="18.75" x14ac:dyDescent="0.2">
      <c r="A1395" s="3" t="str">
        <f t="shared" si="168"/>
        <v>98/11/26</v>
      </c>
      <c r="B1395" s="3" t="str">
        <f t="shared" si="169"/>
        <v>كالاهاي مصرفي</v>
      </c>
      <c r="C1395" s="3" t="str">
        <f>"انبار مصرفي ZU1"</f>
        <v>انبار مصرفي ZU1</v>
      </c>
      <c r="D1395" s="3" t="str">
        <f>"0204001769"</f>
        <v>0204001769</v>
      </c>
      <c r="E1395" s="3" t="str">
        <f>"اورينگ HNBR ضخامت 6 ميليمتر"</f>
        <v>اورينگ HNBR ضخامت 6 ميليمتر</v>
      </c>
      <c r="F1395" s="3" t="str">
        <f>"متر"</f>
        <v>متر</v>
      </c>
      <c r="G1395" s="3">
        <v>5.5</v>
      </c>
      <c r="H1395" s="5">
        <v>10428000</v>
      </c>
    </row>
    <row r="1396" spans="1:8" ht="18.75" x14ac:dyDescent="0.2">
      <c r="A1396" s="3" t="str">
        <f t="shared" si="168"/>
        <v>98/11/26</v>
      </c>
      <c r="B1396" s="3" t="str">
        <f t="shared" si="169"/>
        <v>كالاهاي مصرفي</v>
      </c>
      <c r="C1396" s="3" t="str">
        <f>"انبار مركزي ( عمومي )"</f>
        <v>انبار مركزي ( عمومي )</v>
      </c>
      <c r="D1396" s="3" t="str">
        <f>"0213000885"</f>
        <v>0213000885</v>
      </c>
      <c r="E1396" s="3" t="str">
        <f>"پوساب برچسب دار P1500"</f>
        <v>پوساب برچسب دار P1500</v>
      </c>
      <c r="F1396" s="3" t="str">
        <f>"برگ"</f>
        <v>برگ</v>
      </c>
      <c r="G1396" s="3">
        <v>250</v>
      </c>
      <c r="H1396" s="5">
        <v>10450000</v>
      </c>
    </row>
    <row r="1397" spans="1:8" ht="18.75" x14ac:dyDescent="0.2">
      <c r="A1397" s="3" t="str">
        <f t="shared" si="168"/>
        <v>98/11/26</v>
      </c>
      <c r="B1397" s="3" t="str">
        <f t="shared" si="169"/>
        <v>كالاهاي مصرفي</v>
      </c>
      <c r="C1397" s="3" t="str">
        <f>"انبار مصرفي ZU1"</f>
        <v>انبار مصرفي ZU1</v>
      </c>
      <c r="D1397" s="3" t="str">
        <f>"0204000522"</f>
        <v>0204000522</v>
      </c>
      <c r="E1397" s="3" t="str">
        <f>"بيرينگ C3-6315"</f>
        <v>بيرينگ C3-6315</v>
      </c>
      <c r="F1397" s="3" t="str">
        <f>"عدد"</f>
        <v>عدد</v>
      </c>
      <c r="G1397" s="3">
        <v>3</v>
      </c>
      <c r="H1397" s="5">
        <v>10500000</v>
      </c>
    </row>
    <row r="1398" spans="1:8" ht="18.75" x14ac:dyDescent="0.2">
      <c r="A1398" s="3" t="str">
        <f t="shared" si="168"/>
        <v>98/11/26</v>
      </c>
      <c r="B1398" s="3" t="str">
        <f t="shared" si="169"/>
        <v>كالاهاي مصرفي</v>
      </c>
      <c r="C1398" s="3" t="str">
        <f>"انبار مركزي ( عمومي )"</f>
        <v>انبار مركزي ( عمومي )</v>
      </c>
      <c r="D1398" s="3" t="str">
        <f>"0211002288"</f>
        <v>0211002288</v>
      </c>
      <c r="E1398" s="3" t="str">
        <f>"پلاستيک گيج"</f>
        <v>پلاستيک گيج</v>
      </c>
      <c r="F1398" s="3" t="str">
        <f>"ست"</f>
        <v>ست</v>
      </c>
      <c r="G1398" s="3">
        <v>3</v>
      </c>
      <c r="H1398" s="5">
        <v>10500000</v>
      </c>
    </row>
    <row r="1399" spans="1:8" ht="18.75" x14ac:dyDescent="0.2">
      <c r="A1399" s="3" t="str">
        <f t="shared" si="168"/>
        <v>98/11/26</v>
      </c>
      <c r="B1399" s="3" t="str">
        <f t="shared" si="169"/>
        <v>كالاهاي مصرفي</v>
      </c>
      <c r="C1399" s="3" t="str">
        <f t="shared" ref="C1399:C1410" si="175">"انبار مصرفي ZU1"</f>
        <v>انبار مصرفي ZU1</v>
      </c>
      <c r="D1399" s="3" t="str">
        <f>"0213001140"</f>
        <v>0213001140</v>
      </c>
      <c r="E1399" s="3" t="str">
        <f>"پيچ دوسر رزوه استنلس استيل M27*140"</f>
        <v>پيچ دوسر رزوه استنلس استيل M27*140</v>
      </c>
      <c r="F1399" s="3" t="str">
        <f>"عدد"</f>
        <v>عدد</v>
      </c>
      <c r="G1399" s="3">
        <v>4</v>
      </c>
      <c r="H1399" s="5">
        <v>10600000</v>
      </c>
    </row>
    <row r="1400" spans="1:8" ht="18.75" x14ac:dyDescent="0.2">
      <c r="A1400" s="3" t="str">
        <f t="shared" si="168"/>
        <v>98/11/26</v>
      </c>
      <c r="B1400" s="3" t="str">
        <f t="shared" si="169"/>
        <v>كالاهاي مصرفي</v>
      </c>
      <c r="C1400" s="3" t="str">
        <f t="shared" si="175"/>
        <v>انبار مصرفي ZU1</v>
      </c>
      <c r="D1400" s="3" t="str">
        <f>"0204001016"</f>
        <v>0204001016</v>
      </c>
      <c r="E1400" s="3" t="str">
        <f>"تسمه پروانه SPA 1250"</f>
        <v>تسمه پروانه SPA 1250</v>
      </c>
      <c r="F1400" s="3" t="str">
        <f>"حلقه"</f>
        <v>حلقه</v>
      </c>
      <c r="G1400" s="3">
        <v>54</v>
      </c>
      <c r="H1400" s="5">
        <v>10692000</v>
      </c>
    </row>
    <row r="1401" spans="1:8" ht="18.75" x14ac:dyDescent="0.2">
      <c r="A1401" s="3" t="str">
        <f t="shared" si="168"/>
        <v>98/11/26</v>
      </c>
      <c r="B1401" s="3" t="str">
        <f t="shared" si="169"/>
        <v>كالاهاي مصرفي</v>
      </c>
      <c r="C1401" s="3" t="str">
        <f t="shared" si="175"/>
        <v>انبار مصرفي ZU1</v>
      </c>
      <c r="D1401" s="3" t="str">
        <f>"0204001451"</f>
        <v>0204001451</v>
      </c>
      <c r="E1401" s="3" t="str">
        <f>"اورينگ سيليكون قطر 6 ميليمتر"</f>
        <v>اورينگ سيليكون قطر 6 ميليمتر</v>
      </c>
      <c r="F1401" s="3" t="str">
        <f>"متر"</f>
        <v>متر</v>
      </c>
      <c r="G1401" s="3">
        <v>395</v>
      </c>
      <c r="H1401" s="5">
        <v>10800000</v>
      </c>
    </row>
    <row r="1402" spans="1:8" ht="18.75" x14ac:dyDescent="0.2">
      <c r="A1402" s="3" t="str">
        <f t="shared" si="168"/>
        <v>98/11/26</v>
      </c>
      <c r="B1402" s="3" t="str">
        <f t="shared" si="169"/>
        <v>كالاهاي مصرفي</v>
      </c>
      <c r="C1402" s="3" t="str">
        <f t="shared" si="175"/>
        <v>انبار مصرفي ZU1</v>
      </c>
      <c r="D1402" s="3" t="str">
        <f>"0206000761"</f>
        <v>0206000761</v>
      </c>
      <c r="E1402" s="3" t="str">
        <f>"شير قطع کن دست BML 10"</f>
        <v>شير قطع کن دست BML 10</v>
      </c>
      <c r="F1402" s="3" t="str">
        <f t="shared" ref="F1402:F1410" si="176">"عدد"</f>
        <v>عدد</v>
      </c>
      <c r="G1402" s="3">
        <v>6</v>
      </c>
      <c r="H1402" s="5">
        <v>10800000</v>
      </c>
    </row>
    <row r="1403" spans="1:8" ht="18.75" x14ac:dyDescent="0.2">
      <c r="A1403" s="3" t="str">
        <f t="shared" si="168"/>
        <v>98/11/26</v>
      </c>
      <c r="B1403" s="3" t="str">
        <f t="shared" si="169"/>
        <v>كالاهاي مصرفي</v>
      </c>
      <c r="C1403" s="3" t="str">
        <f t="shared" si="175"/>
        <v>انبار مصرفي ZU1</v>
      </c>
      <c r="D1403" s="3" t="str">
        <f>"0204000161"</f>
        <v>0204000161</v>
      </c>
      <c r="E1403" s="3" t="str">
        <f>"بيرينگ 2Z/C3-6213"</f>
        <v>بيرينگ 2Z/C3-6213</v>
      </c>
      <c r="F1403" s="3" t="str">
        <f t="shared" si="176"/>
        <v>عدد</v>
      </c>
      <c r="G1403" s="3">
        <v>15</v>
      </c>
      <c r="H1403" s="5">
        <v>10837500</v>
      </c>
    </row>
    <row r="1404" spans="1:8" ht="18.75" x14ac:dyDescent="0.2">
      <c r="A1404" s="3" t="str">
        <f t="shared" si="168"/>
        <v>98/11/26</v>
      </c>
      <c r="B1404" s="3" t="str">
        <f t="shared" si="169"/>
        <v>كالاهاي مصرفي</v>
      </c>
      <c r="C1404" s="3" t="str">
        <f t="shared" si="175"/>
        <v>انبار مصرفي ZU1</v>
      </c>
      <c r="D1404" s="3" t="str">
        <f>"0203000132"</f>
        <v>0203000132</v>
      </c>
      <c r="E1404" s="3" t="str">
        <f>"آچارفرانسه 10 اينچ ( 250mm )"</f>
        <v>آچارفرانسه 10 اينچ ( 250mm )</v>
      </c>
      <c r="F1404" s="3" t="str">
        <f t="shared" si="176"/>
        <v>عدد</v>
      </c>
      <c r="G1404" s="3">
        <v>19</v>
      </c>
      <c r="H1404" s="5">
        <v>10894783</v>
      </c>
    </row>
    <row r="1405" spans="1:8" ht="18.75" x14ac:dyDescent="0.2">
      <c r="A1405" s="3" t="str">
        <f t="shared" si="168"/>
        <v>98/11/26</v>
      </c>
      <c r="B1405" s="3" t="str">
        <f t="shared" si="169"/>
        <v>كالاهاي مصرفي</v>
      </c>
      <c r="C1405" s="3" t="str">
        <f t="shared" si="175"/>
        <v>انبار مصرفي ZU1</v>
      </c>
      <c r="D1405" s="3" t="str">
        <f>"0204001336"</f>
        <v>0204001336</v>
      </c>
      <c r="E1405" s="3" t="str">
        <f>"اورينگ HNBR 465*4.0"</f>
        <v>اورينگ HNBR 465*4.0</v>
      </c>
      <c r="F1405" s="3" t="str">
        <f t="shared" si="176"/>
        <v>عدد</v>
      </c>
      <c r="G1405" s="3">
        <v>15</v>
      </c>
      <c r="H1405" s="5">
        <v>10920000</v>
      </c>
    </row>
    <row r="1406" spans="1:8" ht="18.75" x14ac:dyDescent="0.2">
      <c r="A1406" s="3" t="str">
        <f t="shared" si="168"/>
        <v>98/11/26</v>
      </c>
      <c r="B1406" s="3" t="str">
        <f t="shared" si="169"/>
        <v>كالاهاي مصرفي</v>
      </c>
      <c r="C1406" s="3" t="str">
        <f t="shared" si="175"/>
        <v>انبار مصرفي ZU1</v>
      </c>
      <c r="D1406" s="3" t="str">
        <f>"0213000215"</f>
        <v>0213000215</v>
      </c>
      <c r="E1406" s="3" t="str">
        <f>"پيچ دوسر رزوه M26*140"</f>
        <v>پيچ دوسر رزوه M26*140</v>
      </c>
      <c r="F1406" s="3" t="str">
        <f t="shared" si="176"/>
        <v>عدد</v>
      </c>
      <c r="G1406" s="3">
        <v>100</v>
      </c>
      <c r="H1406" s="5">
        <v>10920000</v>
      </c>
    </row>
    <row r="1407" spans="1:8" ht="18.75" x14ac:dyDescent="0.2">
      <c r="A1407" s="3" t="str">
        <f t="shared" si="168"/>
        <v>98/11/26</v>
      </c>
      <c r="B1407" s="3" t="str">
        <f t="shared" si="169"/>
        <v>كالاهاي مصرفي</v>
      </c>
      <c r="C1407" s="3" t="str">
        <f t="shared" si="175"/>
        <v>انبار مصرفي ZU1</v>
      </c>
      <c r="D1407" s="3" t="str">
        <f>"0106000113"</f>
        <v>0106000113</v>
      </c>
      <c r="E1407" s="3" t="str">
        <f>"گريس ليتيوم با پايه سولفيد موليبدن براي سرعت بالا  1 كيلويي (608 اوراپي)"</f>
        <v>گريس ليتيوم با پايه سولفيد موليبدن براي سرعت بالا  1 كيلويي (608 اوراپي)</v>
      </c>
      <c r="F1407" s="3" t="str">
        <f t="shared" si="176"/>
        <v>عدد</v>
      </c>
      <c r="G1407" s="3">
        <v>2</v>
      </c>
      <c r="H1407" s="5">
        <v>11000000</v>
      </c>
    </row>
    <row r="1408" spans="1:8" ht="18.75" x14ac:dyDescent="0.2">
      <c r="A1408" s="3" t="str">
        <f t="shared" si="168"/>
        <v>98/11/26</v>
      </c>
      <c r="B1408" s="3" t="str">
        <f t="shared" si="169"/>
        <v>كالاهاي مصرفي</v>
      </c>
      <c r="C1408" s="3" t="str">
        <f t="shared" si="175"/>
        <v>انبار مصرفي ZU1</v>
      </c>
      <c r="D1408" s="3" t="str">
        <f>"0204000579"</f>
        <v>0204000579</v>
      </c>
      <c r="E1408" s="3" t="str">
        <f>"بيرينگ 3307"</f>
        <v>بيرينگ 3307</v>
      </c>
      <c r="F1408" s="3" t="str">
        <f t="shared" si="176"/>
        <v>عدد</v>
      </c>
      <c r="G1408" s="3">
        <v>2</v>
      </c>
      <c r="H1408" s="5">
        <v>11000000</v>
      </c>
    </row>
    <row r="1409" spans="1:8" ht="18.75" x14ac:dyDescent="0.2">
      <c r="A1409" s="3" t="str">
        <f t="shared" si="168"/>
        <v>98/11/26</v>
      </c>
      <c r="B1409" s="3" t="str">
        <f t="shared" si="169"/>
        <v>كالاهاي مصرفي</v>
      </c>
      <c r="C1409" s="3" t="str">
        <f t="shared" si="175"/>
        <v>انبار مصرفي ZU1</v>
      </c>
      <c r="D1409" s="3" t="str">
        <f>"0204000975"</f>
        <v>0204000975</v>
      </c>
      <c r="E1409" s="3" t="str">
        <f>"بيرينگ 6022/C2"</f>
        <v>بيرينگ 6022/C2</v>
      </c>
      <c r="F1409" s="3" t="str">
        <f t="shared" si="176"/>
        <v>عدد</v>
      </c>
      <c r="G1409" s="3">
        <v>4</v>
      </c>
      <c r="H1409" s="5">
        <v>11000000</v>
      </c>
    </row>
    <row r="1410" spans="1:8" ht="18.75" x14ac:dyDescent="0.2">
      <c r="A1410" s="3" t="str">
        <f t="shared" ref="A1410:A1473" si="177">"98/11/26"</f>
        <v>98/11/26</v>
      </c>
      <c r="B1410" s="3" t="str">
        <f t="shared" ref="B1410:B1473" si="178">"كالاهاي مصرفي"</f>
        <v>كالاهاي مصرفي</v>
      </c>
      <c r="C1410" s="3" t="str">
        <f t="shared" si="175"/>
        <v>انبار مصرفي ZU1</v>
      </c>
      <c r="D1410" s="3" t="str">
        <f>"0204001476"</f>
        <v>0204001476</v>
      </c>
      <c r="E1410" s="3" t="str">
        <f>"پوسته بيرينگ SNL517"</f>
        <v>پوسته بيرينگ SNL517</v>
      </c>
      <c r="F1410" s="3" t="str">
        <f t="shared" si="176"/>
        <v>عدد</v>
      </c>
      <c r="G1410" s="3">
        <v>1</v>
      </c>
      <c r="H1410" s="5">
        <v>11000000</v>
      </c>
    </row>
    <row r="1411" spans="1:8" ht="18.75" x14ac:dyDescent="0.2">
      <c r="A1411" s="3" t="str">
        <f t="shared" si="177"/>
        <v>98/11/26</v>
      </c>
      <c r="B1411" s="3" t="str">
        <f t="shared" si="178"/>
        <v>كالاهاي مصرفي</v>
      </c>
      <c r="C1411" s="3" t="str">
        <f>"انبار مركزي ( عمومي )"</f>
        <v>انبار مركزي ( عمومي )</v>
      </c>
      <c r="D1411" s="3" t="str">
        <f>"0211000623"</f>
        <v>0211000623</v>
      </c>
      <c r="E1411" s="3" t="str">
        <f>"اسفنج  10 سانتي"</f>
        <v>اسفنج  10 سانتي</v>
      </c>
      <c r="F1411" s="3" t="str">
        <f>"متر مربع"</f>
        <v>متر مربع</v>
      </c>
      <c r="G1411" s="3">
        <v>10</v>
      </c>
      <c r="H1411" s="5">
        <v>11000000</v>
      </c>
    </row>
    <row r="1412" spans="1:8" ht="18.75" x14ac:dyDescent="0.2">
      <c r="A1412" s="3" t="str">
        <f t="shared" si="177"/>
        <v>98/11/26</v>
      </c>
      <c r="B1412" s="3" t="str">
        <f t="shared" si="178"/>
        <v>كالاهاي مصرفي</v>
      </c>
      <c r="C1412" s="3" t="str">
        <f>"انبار مصرفي ZU1"</f>
        <v>انبار مصرفي ZU1</v>
      </c>
      <c r="D1412" s="3" t="str">
        <f>"0211001720"</f>
        <v>0211001720</v>
      </c>
      <c r="E1412" s="3" t="str">
        <f>"شيم پليت ضخامت 0/1 به ابعاد 100 *100"</f>
        <v>شيم پليت ضخامت 0/1 به ابعاد 100 *100</v>
      </c>
      <c r="F1412" s="3" t="str">
        <f>"عدد"</f>
        <v>عدد</v>
      </c>
      <c r="G1412" s="3">
        <v>70</v>
      </c>
      <c r="H1412" s="5">
        <v>11060000</v>
      </c>
    </row>
    <row r="1413" spans="1:8" ht="18.75" x14ac:dyDescent="0.2">
      <c r="A1413" s="3" t="str">
        <f t="shared" si="177"/>
        <v>98/11/26</v>
      </c>
      <c r="B1413" s="3" t="str">
        <f t="shared" si="178"/>
        <v>كالاهاي مصرفي</v>
      </c>
      <c r="C1413" s="3" t="str">
        <f>"انبار مركزي ( عمومي )"</f>
        <v>انبار مركزي ( عمومي )</v>
      </c>
      <c r="D1413" s="3" t="str">
        <f>"0203000092"</f>
        <v>0203000092</v>
      </c>
      <c r="E1413" s="3" t="str">
        <f>"دم باريك"</f>
        <v>دم باريك</v>
      </c>
      <c r="F1413" s="3" t="str">
        <f>"عدد"</f>
        <v>عدد</v>
      </c>
      <c r="G1413" s="3">
        <v>23</v>
      </c>
      <c r="H1413" s="5">
        <v>11090815</v>
      </c>
    </row>
    <row r="1414" spans="1:8" ht="18.75" x14ac:dyDescent="0.2">
      <c r="A1414" s="3" t="str">
        <f t="shared" si="177"/>
        <v>98/11/26</v>
      </c>
      <c r="B1414" s="3" t="str">
        <f t="shared" si="178"/>
        <v>كالاهاي مصرفي</v>
      </c>
      <c r="C1414" s="3" t="str">
        <f>"انبار مركزي ( عمومي )"</f>
        <v>انبار مركزي ( عمومي )</v>
      </c>
      <c r="D1414" s="3" t="str">
        <f>"0203000115"</f>
        <v>0203000115</v>
      </c>
      <c r="E1414" s="3" t="str">
        <f>"پيچ گوشتي عايقدار ست كامل"</f>
        <v>پيچ گوشتي عايقدار ست كامل</v>
      </c>
      <c r="F1414" s="3" t="str">
        <f>"سري"</f>
        <v>سري</v>
      </c>
      <c r="G1414" s="3">
        <v>12</v>
      </c>
      <c r="H1414" s="5">
        <v>11100000</v>
      </c>
    </row>
    <row r="1415" spans="1:8" ht="18.75" x14ac:dyDescent="0.2">
      <c r="A1415" s="3" t="str">
        <f t="shared" si="177"/>
        <v>98/11/26</v>
      </c>
      <c r="B1415" s="3" t="str">
        <f t="shared" si="178"/>
        <v>كالاهاي مصرفي</v>
      </c>
      <c r="C1415" s="3" t="str">
        <f>"انبار مصرفي ZU1"</f>
        <v>انبار مصرفي ZU1</v>
      </c>
      <c r="D1415" s="3" t="str">
        <f>"0204000322"</f>
        <v>0204000322</v>
      </c>
      <c r="E1415" s="3" t="str">
        <f>"خارچشمي سايز مختلف"</f>
        <v>خارچشمي سايز مختلف</v>
      </c>
      <c r="F1415" s="3" t="str">
        <f>"عدد"</f>
        <v>عدد</v>
      </c>
      <c r="G1415" s="3">
        <v>4700</v>
      </c>
      <c r="H1415" s="5">
        <v>11148855</v>
      </c>
    </row>
    <row r="1416" spans="1:8" ht="18.75" x14ac:dyDescent="0.2">
      <c r="A1416" s="3" t="str">
        <f t="shared" si="177"/>
        <v>98/11/26</v>
      </c>
      <c r="B1416" s="3" t="str">
        <f t="shared" si="178"/>
        <v>كالاهاي مصرفي</v>
      </c>
      <c r="C1416" s="3" t="str">
        <f>"انبار مصرفي ZU1"</f>
        <v>انبار مصرفي ZU1</v>
      </c>
      <c r="D1416" s="3" t="str">
        <f>"0204001350"</f>
        <v>0204001350</v>
      </c>
      <c r="E1416" s="3" t="str">
        <f>"اورينگ HNBR 535*6.0"</f>
        <v>اورينگ HNBR 535*6.0</v>
      </c>
      <c r="F1416" s="3" t="str">
        <f>"عدد"</f>
        <v>عدد</v>
      </c>
      <c r="G1416" s="3">
        <v>12</v>
      </c>
      <c r="H1416" s="5">
        <v>11196000</v>
      </c>
    </row>
    <row r="1417" spans="1:8" ht="18.75" x14ac:dyDescent="0.2">
      <c r="A1417" s="3" t="str">
        <f t="shared" si="177"/>
        <v>98/11/26</v>
      </c>
      <c r="B1417" s="3" t="str">
        <f t="shared" si="178"/>
        <v>كالاهاي مصرفي</v>
      </c>
      <c r="C1417" s="3" t="str">
        <f>"انبار مصرفي ZU1"</f>
        <v>انبار مصرفي ZU1</v>
      </c>
      <c r="D1417" s="3" t="str">
        <f>"0204002197"</f>
        <v>0204002197</v>
      </c>
      <c r="E1417" s="3" t="str">
        <f>"لرزه گير UV 77  D026  دستگاه تهويه"</f>
        <v>لرزه گير UV 77  D026  دستگاه تهويه</v>
      </c>
      <c r="F1417" s="3" t="str">
        <f>"عدد"</f>
        <v>عدد</v>
      </c>
      <c r="G1417" s="3">
        <v>20</v>
      </c>
      <c r="H1417" s="5">
        <v>11200000</v>
      </c>
    </row>
    <row r="1418" spans="1:8" ht="18.75" x14ac:dyDescent="0.2">
      <c r="A1418" s="3" t="str">
        <f t="shared" si="177"/>
        <v>98/11/26</v>
      </c>
      <c r="B1418" s="3" t="str">
        <f t="shared" si="178"/>
        <v>كالاهاي مصرفي</v>
      </c>
      <c r="C1418" s="3" t="str">
        <f>"انبار مصرفي ZU1"</f>
        <v>انبار مصرفي ZU1</v>
      </c>
      <c r="D1418" s="3" t="str">
        <f>"0204001941"</f>
        <v>0204001941</v>
      </c>
      <c r="E1418" s="3" t="str">
        <f>"بيرينگ NJ 413"</f>
        <v>بيرينگ NJ 413</v>
      </c>
      <c r="F1418" s="3" t="str">
        <f>"عدد"</f>
        <v>عدد</v>
      </c>
      <c r="G1418" s="3">
        <v>2</v>
      </c>
      <c r="H1418" s="5">
        <v>11220000</v>
      </c>
    </row>
    <row r="1419" spans="1:8" ht="18.75" x14ac:dyDescent="0.2">
      <c r="A1419" s="3" t="str">
        <f t="shared" si="177"/>
        <v>98/11/26</v>
      </c>
      <c r="B1419" s="3" t="str">
        <f t="shared" si="178"/>
        <v>كالاهاي مصرفي</v>
      </c>
      <c r="C1419" s="3" t="str">
        <f>"انبار مصرفي ZU1"</f>
        <v>انبار مصرفي ZU1</v>
      </c>
      <c r="D1419" s="3" t="str">
        <f>"0207000026"</f>
        <v>0207000026</v>
      </c>
      <c r="E1419" s="3" t="str">
        <f>"شيلنگ فشار قوي دو سر پرس"</f>
        <v>شيلنگ فشار قوي دو سر پرس</v>
      </c>
      <c r="F1419" s="3" t="str">
        <f>"عدد"</f>
        <v>عدد</v>
      </c>
      <c r="G1419" s="3">
        <v>22</v>
      </c>
      <c r="H1419" s="5">
        <v>11220000</v>
      </c>
    </row>
    <row r="1420" spans="1:8" ht="18.75" x14ac:dyDescent="0.2">
      <c r="A1420" s="3" t="str">
        <f t="shared" si="177"/>
        <v>98/11/26</v>
      </c>
      <c r="B1420" s="3" t="str">
        <f t="shared" si="178"/>
        <v>كالاهاي مصرفي</v>
      </c>
      <c r="C1420" s="3" t="str">
        <f>"انبار مركزي ( عمومي )"</f>
        <v>انبار مركزي ( عمومي )</v>
      </c>
      <c r="D1420" s="3" t="str">
        <f>"0601000125"</f>
        <v>0601000125</v>
      </c>
      <c r="E1420" s="3" t="str">
        <f>"دستكش عايق20kv"</f>
        <v>دستكش عايق20kv</v>
      </c>
      <c r="F1420" s="3" t="str">
        <f>"جفت"</f>
        <v>جفت</v>
      </c>
      <c r="G1420" s="3">
        <v>8</v>
      </c>
      <c r="H1420" s="5">
        <v>11236364</v>
      </c>
    </row>
    <row r="1421" spans="1:8" ht="18.75" x14ac:dyDescent="0.2">
      <c r="A1421" s="3" t="str">
        <f t="shared" si="177"/>
        <v>98/11/26</v>
      </c>
      <c r="B1421" s="3" t="str">
        <f t="shared" si="178"/>
        <v>كالاهاي مصرفي</v>
      </c>
      <c r="C1421" s="3" t="str">
        <f>"انبار مصرفي ZU1"</f>
        <v>انبار مصرفي ZU1</v>
      </c>
      <c r="D1421" s="3" t="str">
        <f>"0214000432"</f>
        <v>0214000432</v>
      </c>
      <c r="E1421" s="3" t="str">
        <f>"شافت زيلاميد  خود چرب قطر150 ميليمتر"</f>
        <v>شافت زيلاميد  خود چرب قطر150 ميليمتر</v>
      </c>
      <c r="F1421" s="3" t="str">
        <f>"متر"</f>
        <v>متر</v>
      </c>
      <c r="G1421" s="3">
        <v>0.5</v>
      </c>
      <c r="H1421" s="5">
        <v>11340000</v>
      </c>
    </row>
    <row r="1422" spans="1:8" ht="18.75" x14ac:dyDescent="0.2">
      <c r="A1422" s="3" t="str">
        <f t="shared" si="177"/>
        <v>98/11/26</v>
      </c>
      <c r="B1422" s="3" t="str">
        <f t="shared" si="178"/>
        <v>كالاهاي مصرفي</v>
      </c>
      <c r="C1422" s="3" t="str">
        <f>"انبار مصرفي ZU1"</f>
        <v>انبار مصرفي ZU1</v>
      </c>
      <c r="D1422" s="3" t="str">
        <f>"0211001726"</f>
        <v>0211001726</v>
      </c>
      <c r="E1422" s="3" t="str">
        <f>"شيم پليت ضخامت 0/2 به ابعاد 125 *125"</f>
        <v>شيم پليت ضخامت 0/2 به ابعاد 125 *125</v>
      </c>
      <c r="F1422" s="3" t="str">
        <f t="shared" ref="F1422:F1427" si="179">"عدد"</f>
        <v>عدد</v>
      </c>
      <c r="G1422" s="3">
        <v>44</v>
      </c>
      <c r="H1422" s="5">
        <v>11396000</v>
      </c>
    </row>
    <row r="1423" spans="1:8" ht="18.75" x14ac:dyDescent="0.2">
      <c r="A1423" s="3" t="str">
        <f t="shared" si="177"/>
        <v>98/11/26</v>
      </c>
      <c r="B1423" s="3" t="str">
        <f t="shared" si="178"/>
        <v>كالاهاي مصرفي</v>
      </c>
      <c r="C1423" s="3" t="str">
        <f>"انبار مصرفي ZU1"</f>
        <v>انبار مصرفي ZU1</v>
      </c>
      <c r="D1423" s="3" t="str">
        <f>"0204002217"</f>
        <v>0204002217</v>
      </c>
      <c r="E1423" s="3" t="str">
        <f>"بيرينگ 6016 C2"</f>
        <v>بيرينگ 6016 C2</v>
      </c>
      <c r="F1423" s="3" t="str">
        <f t="shared" si="179"/>
        <v>عدد</v>
      </c>
      <c r="G1423" s="3">
        <v>3</v>
      </c>
      <c r="H1423" s="5">
        <v>11400000</v>
      </c>
    </row>
    <row r="1424" spans="1:8" ht="18.75" x14ac:dyDescent="0.2">
      <c r="A1424" s="3" t="str">
        <f t="shared" si="177"/>
        <v>98/11/26</v>
      </c>
      <c r="B1424" s="3" t="str">
        <f t="shared" si="178"/>
        <v>كالاهاي مصرفي</v>
      </c>
      <c r="C1424" s="3" t="str">
        <f>"انبار مصرفي ZU1"</f>
        <v>انبار مصرفي ZU1</v>
      </c>
      <c r="D1424" s="3" t="str">
        <f>"0215000071"</f>
        <v>0215000071</v>
      </c>
      <c r="E1424" s="3" t="str">
        <f>"فيلتر هوا SAC9703"</f>
        <v>فيلتر هوا SAC9703</v>
      </c>
      <c r="F1424" s="3" t="str">
        <f t="shared" si="179"/>
        <v>عدد</v>
      </c>
      <c r="G1424" s="3">
        <v>6</v>
      </c>
      <c r="H1424" s="5">
        <v>11400000</v>
      </c>
    </row>
    <row r="1425" spans="1:8" ht="18.75" x14ac:dyDescent="0.2">
      <c r="A1425" s="3" t="str">
        <f t="shared" si="177"/>
        <v>98/11/26</v>
      </c>
      <c r="B1425" s="3" t="str">
        <f t="shared" si="178"/>
        <v>كالاهاي مصرفي</v>
      </c>
      <c r="C1425" s="3" t="str">
        <f>"انبار مصرفي ZU1"</f>
        <v>انبار مصرفي ZU1</v>
      </c>
      <c r="D1425" s="3" t="str">
        <f>"0213000216"</f>
        <v>0213000216</v>
      </c>
      <c r="E1425" s="3" t="str">
        <f>"پيچ دوسر رزوه M28*140"</f>
        <v>پيچ دوسر رزوه M28*140</v>
      </c>
      <c r="F1425" s="3" t="str">
        <f t="shared" si="179"/>
        <v>عدد</v>
      </c>
      <c r="G1425" s="3">
        <v>96</v>
      </c>
      <c r="H1425" s="5">
        <v>11416000</v>
      </c>
    </row>
    <row r="1426" spans="1:8" ht="18.75" x14ac:dyDescent="0.2">
      <c r="A1426" s="3" t="str">
        <f t="shared" si="177"/>
        <v>98/11/26</v>
      </c>
      <c r="B1426" s="3" t="str">
        <f t="shared" si="178"/>
        <v>كالاهاي مصرفي</v>
      </c>
      <c r="C1426" s="3" t="str">
        <f>"انبار مركزي ( عمومي )"</f>
        <v>انبار مركزي ( عمومي )</v>
      </c>
      <c r="D1426" s="3" t="str">
        <f>"0213000716"</f>
        <v>0213000716</v>
      </c>
      <c r="E1426" s="3" t="str">
        <f>"خار جمع كن"</f>
        <v>خار جمع كن</v>
      </c>
      <c r="F1426" s="3" t="str">
        <f t="shared" si="179"/>
        <v>عدد</v>
      </c>
      <c r="G1426" s="3">
        <v>25</v>
      </c>
      <c r="H1426" s="5">
        <v>11432121</v>
      </c>
    </row>
    <row r="1427" spans="1:8" ht="18.75" x14ac:dyDescent="0.2">
      <c r="A1427" s="3" t="str">
        <f t="shared" si="177"/>
        <v>98/11/26</v>
      </c>
      <c r="B1427" s="3" t="str">
        <f t="shared" si="178"/>
        <v>كالاهاي مصرفي</v>
      </c>
      <c r="C1427" s="3" t="str">
        <f t="shared" ref="C1427:C1432" si="180">"انبار مصرفي ZU1"</f>
        <v>انبار مصرفي ZU1</v>
      </c>
      <c r="D1427" s="3" t="str">
        <f>"0204000576"</f>
        <v>0204000576</v>
      </c>
      <c r="E1427" s="3" t="str">
        <f>"بيرينگ 3206-BTNG"</f>
        <v>بيرينگ 3206-BTNG</v>
      </c>
      <c r="F1427" s="3" t="str">
        <f t="shared" si="179"/>
        <v>عدد</v>
      </c>
      <c r="G1427" s="3">
        <v>22</v>
      </c>
      <c r="H1427" s="5">
        <v>11440000</v>
      </c>
    </row>
    <row r="1428" spans="1:8" ht="18.75" x14ac:dyDescent="0.2">
      <c r="A1428" s="3" t="str">
        <f t="shared" si="177"/>
        <v>98/11/26</v>
      </c>
      <c r="B1428" s="3" t="str">
        <f t="shared" si="178"/>
        <v>كالاهاي مصرفي</v>
      </c>
      <c r="C1428" s="3" t="str">
        <f t="shared" si="180"/>
        <v>انبار مصرفي ZU1</v>
      </c>
      <c r="D1428" s="3" t="str">
        <f>"0211000355"</f>
        <v>0211000355</v>
      </c>
      <c r="E1428" s="3" t="str">
        <f>"سيم قلع ضخامت 0/4mm"</f>
        <v>سيم قلع ضخامت 0/4mm</v>
      </c>
      <c r="F1428" s="3" t="str">
        <f>"کيلوگرم"</f>
        <v>کيلوگرم</v>
      </c>
      <c r="G1428" s="3">
        <v>4</v>
      </c>
      <c r="H1428" s="5">
        <v>11440000</v>
      </c>
    </row>
    <row r="1429" spans="1:8" ht="18.75" x14ac:dyDescent="0.2">
      <c r="A1429" s="3" t="str">
        <f t="shared" si="177"/>
        <v>98/11/26</v>
      </c>
      <c r="B1429" s="3" t="str">
        <f t="shared" si="178"/>
        <v>كالاهاي مصرفي</v>
      </c>
      <c r="C1429" s="3" t="str">
        <f t="shared" si="180"/>
        <v>انبار مصرفي ZU1</v>
      </c>
      <c r="D1429" s="3" t="str">
        <f>"0204000738"</f>
        <v>0204000738</v>
      </c>
      <c r="E1429" s="3" t="str">
        <f>"كاسه نمد Mild Steel 80*100*4 AIA"</f>
        <v>كاسه نمد Mild Steel 80*100*4 AIA</v>
      </c>
      <c r="F1429" s="3" t="str">
        <f>"عدد"</f>
        <v>عدد</v>
      </c>
      <c r="G1429" s="3">
        <v>60</v>
      </c>
      <c r="H1429" s="5">
        <v>11460000</v>
      </c>
    </row>
    <row r="1430" spans="1:8" ht="18.75" x14ac:dyDescent="0.2">
      <c r="A1430" s="3" t="str">
        <f t="shared" si="177"/>
        <v>98/11/26</v>
      </c>
      <c r="B1430" s="3" t="str">
        <f t="shared" si="178"/>
        <v>كالاهاي مصرفي</v>
      </c>
      <c r="C1430" s="3" t="str">
        <f t="shared" si="180"/>
        <v>انبار مصرفي ZU1</v>
      </c>
      <c r="D1430" s="3" t="str">
        <f>"0204000660"</f>
        <v>0204000660</v>
      </c>
      <c r="E1430" s="3" t="str">
        <f>"واشر اورينگ رزيني NBR 110 *3.5"</f>
        <v>واشر اورينگ رزيني NBR 110 *3.5</v>
      </c>
      <c r="F1430" s="3" t="str">
        <f>"عدد"</f>
        <v>عدد</v>
      </c>
      <c r="G1430" s="3">
        <v>50</v>
      </c>
      <c r="H1430" s="5">
        <v>11500000</v>
      </c>
    </row>
    <row r="1431" spans="1:8" ht="18.75" x14ac:dyDescent="0.2">
      <c r="A1431" s="3" t="str">
        <f t="shared" si="177"/>
        <v>98/11/26</v>
      </c>
      <c r="B1431" s="3" t="str">
        <f t="shared" si="178"/>
        <v>كالاهاي مصرفي</v>
      </c>
      <c r="C1431" s="3" t="str">
        <f t="shared" si="180"/>
        <v>انبار مصرفي ZU1</v>
      </c>
      <c r="D1431" s="3" t="str">
        <f>"0204001317"</f>
        <v>0204001317</v>
      </c>
      <c r="E1431" s="3" t="str">
        <f>"اورينگ HNBR 463*7"</f>
        <v>اورينگ HNBR 463*7</v>
      </c>
      <c r="F1431" s="3" t="str">
        <f>"عدد"</f>
        <v>عدد</v>
      </c>
      <c r="G1431" s="3">
        <v>13</v>
      </c>
      <c r="H1431" s="5">
        <v>11518000</v>
      </c>
    </row>
    <row r="1432" spans="1:8" ht="18.75" x14ac:dyDescent="0.2">
      <c r="A1432" s="3" t="str">
        <f t="shared" si="177"/>
        <v>98/11/26</v>
      </c>
      <c r="B1432" s="3" t="str">
        <f t="shared" si="178"/>
        <v>كالاهاي مصرفي</v>
      </c>
      <c r="C1432" s="3" t="str">
        <f t="shared" si="180"/>
        <v>انبار مصرفي ZU1</v>
      </c>
      <c r="D1432" s="3" t="str">
        <f>"0204001136"</f>
        <v>0204001136</v>
      </c>
      <c r="E1432" s="3" t="str">
        <f>"صفحات لاستيك آببندي معمولي ضخامت 3 ميليمتر"</f>
        <v>صفحات لاستيك آببندي معمولي ضخامت 3 ميليمتر</v>
      </c>
      <c r="F1432" s="3" t="str">
        <f>"متر مربع"</f>
        <v>متر مربع</v>
      </c>
      <c r="G1432" s="3">
        <v>30</v>
      </c>
      <c r="H1432" s="5">
        <v>11523000</v>
      </c>
    </row>
    <row r="1433" spans="1:8" ht="18.75" x14ac:dyDescent="0.2">
      <c r="A1433" s="3" t="str">
        <f t="shared" si="177"/>
        <v>98/11/26</v>
      </c>
      <c r="B1433" s="3" t="str">
        <f t="shared" si="178"/>
        <v>كالاهاي مصرفي</v>
      </c>
      <c r="C1433" s="3" t="str">
        <f>"انبار مركزي ( عمومي )"</f>
        <v>انبار مركزي ( عمومي )</v>
      </c>
      <c r="D1433" s="3" t="str">
        <f>"0213000741"</f>
        <v>0213000741</v>
      </c>
      <c r="E1433" s="3" t="str">
        <f>"مته آهن نمره 11"</f>
        <v>مته آهن نمره 11</v>
      </c>
      <c r="F1433" s="3" t="str">
        <f>"عدد"</f>
        <v>عدد</v>
      </c>
      <c r="G1433" s="3">
        <v>56</v>
      </c>
      <c r="H1433" s="5">
        <v>11528276</v>
      </c>
    </row>
    <row r="1434" spans="1:8" ht="18.75" x14ac:dyDescent="0.2">
      <c r="A1434" s="3" t="str">
        <f t="shared" si="177"/>
        <v>98/11/26</v>
      </c>
      <c r="B1434" s="3" t="str">
        <f t="shared" si="178"/>
        <v>كالاهاي مصرفي</v>
      </c>
      <c r="C1434" s="3" t="str">
        <f t="shared" ref="C1434:C1448" si="181">"انبار مصرفي ZU1"</f>
        <v>انبار مصرفي ZU1</v>
      </c>
      <c r="D1434" s="3" t="str">
        <f>"0204001668"</f>
        <v>0204001668</v>
      </c>
      <c r="E1434" s="3" t="str">
        <f>"اورينگ HNBR 130*3"</f>
        <v>اورينگ HNBR 130*3</v>
      </c>
      <c r="F1434" s="3" t="str">
        <f>"عدد"</f>
        <v>عدد</v>
      </c>
      <c r="G1434" s="3">
        <v>30</v>
      </c>
      <c r="H1434" s="5">
        <v>11531250</v>
      </c>
    </row>
    <row r="1435" spans="1:8" ht="18.75" x14ac:dyDescent="0.2">
      <c r="A1435" s="3" t="str">
        <f t="shared" si="177"/>
        <v>98/11/26</v>
      </c>
      <c r="B1435" s="3" t="str">
        <f t="shared" si="178"/>
        <v>كالاهاي مصرفي</v>
      </c>
      <c r="C1435" s="3" t="str">
        <f t="shared" si="181"/>
        <v>انبار مصرفي ZU1</v>
      </c>
      <c r="D1435" s="3" t="str">
        <f>"0106000133"</f>
        <v>0106000133</v>
      </c>
      <c r="E1435" s="3" t="str">
        <f>"روغن 100 يك ليتري Aeroshell"</f>
        <v>روغن 100 يك ليتري Aeroshell</v>
      </c>
      <c r="F1435" s="3" t="str">
        <f>"قوطي"</f>
        <v>قوطي</v>
      </c>
      <c r="G1435" s="3">
        <v>7</v>
      </c>
      <c r="H1435" s="5">
        <v>11550000</v>
      </c>
    </row>
    <row r="1436" spans="1:8" ht="18.75" x14ac:dyDescent="0.2">
      <c r="A1436" s="3" t="str">
        <f t="shared" si="177"/>
        <v>98/11/26</v>
      </c>
      <c r="B1436" s="3" t="str">
        <f t="shared" si="178"/>
        <v>كالاهاي مصرفي</v>
      </c>
      <c r="C1436" s="3" t="str">
        <f t="shared" si="181"/>
        <v>انبار مصرفي ZU1</v>
      </c>
      <c r="D1436" s="3" t="str">
        <f>"0204001368"</f>
        <v>0204001368</v>
      </c>
      <c r="E1436" s="3" t="str">
        <f>"اورينگ HNBR 265*4"</f>
        <v>اورينگ HNBR 265*4</v>
      </c>
      <c r="F1436" s="3" t="str">
        <f>"عدد"</f>
        <v>عدد</v>
      </c>
      <c r="G1436" s="3">
        <v>16</v>
      </c>
      <c r="H1436" s="5">
        <v>11552000</v>
      </c>
    </row>
    <row r="1437" spans="1:8" ht="18.75" x14ac:dyDescent="0.2">
      <c r="A1437" s="3" t="str">
        <f t="shared" si="177"/>
        <v>98/11/26</v>
      </c>
      <c r="B1437" s="3" t="str">
        <f t="shared" si="178"/>
        <v>كالاهاي مصرفي</v>
      </c>
      <c r="C1437" s="3" t="str">
        <f t="shared" si="181"/>
        <v>انبار مصرفي ZU1</v>
      </c>
      <c r="D1437" s="3" t="str">
        <f>"0204000688"</f>
        <v>0204000688</v>
      </c>
      <c r="E1437" s="3" t="str">
        <f>"واشر اورينگ رزيني 4*(3-)265"</f>
        <v>واشر اورينگ رزيني 4*(3-)265</v>
      </c>
      <c r="F1437" s="3" t="str">
        <f>"عدد"</f>
        <v>عدد</v>
      </c>
      <c r="G1437" s="3">
        <v>20</v>
      </c>
      <c r="H1437" s="5">
        <v>11560000</v>
      </c>
    </row>
    <row r="1438" spans="1:8" ht="18.75" x14ac:dyDescent="0.2">
      <c r="A1438" s="3" t="str">
        <f t="shared" si="177"/>
        <v>98/11/26</v>
      </c>
      <c r="B1438" s="3" t="str">
        <f t="shared" si="178"/>
        <v>كالاهاي مصرفي</v>
      </c>
      <c r="C1438" s="3" t="str">
        <f t="shared" si="181"/>
        <v>انبار مصرفي ZU1</v>
      </c>
      <c r="D1438" s="3" t="str">
        <f>"0106000137"</f>
        <v>0106000137</v>
      </c>
      <c r="E1438" s="3" t="str">
        <f>"روغن پارس بابك 32 بشكه 208ليتري"</f>
        <v>روغن پارس بابك 32 بشكه 208ليتري</v>
      </c>
      <c r="F1438" s="3" t="str">
        <f>"بشكه"</f>
        <v>بشكه</v>
      </c>
      <c r="G1438" s="3">
        <v>1</v>
      </c>
      <c r="H1438" s="5">
        <v>11600000</v>
      </c>
    </row>
    <row r="1439" spans="1:8" ht="18.75" x14ac:dyDescent="0.2">
      <c r="A1439" s="3" t="str">
        <f t="shared" si="177"/>
        <v>98/11/26</v>
      </c>
      <c r="B1439" s="3" t="str">
        <f t="shared" si="178"/>
        <v>كالاهاي مصرفي</v>
      </c>
      <c r="C1439" s="3" t="str">
        <f t="shared" si="181"/>
        <v>انبار مصرفي ZU1</v>
      </c>
      <c r="D1439" s="3" t="str">
        <f>"0204000697"</f>
        <v>0204000697</v>
      </c>
      <c r="E1439" s="3" t="str">
        <f>"واشر آببند شير كيد 250mm"</f>
        <v>واشر آببند شير كيد 250mm</v>
      </c>
      <c r="F1439" s="3" t="str">
        <f>"عدد"</f>
        <v>عدد</v>
      </c>
      <c r="G1439" s="3">
        <v>58</v>
      </c>
      <c r="H1439" s="5">
        <v>11600000</v>
      </c>
    </row>
    <row r="1440" spans="1:8" ht="18.75" x14ac:dyDescent="0.2">
      <c r="A1440" s="3" t="str">
        <f t="shared" si="177"/>
        <v>98/11/26</v>
      </c>
      <c r="B1440" s="3" t="str">
        <f t="shared" si="178"/>
        <v>كالاهاي مصرفي</v>
      </c>
      <c r="C1440" s="3" t="str">
        <f t="shared" si="181"/>
        <v>انبار مصرفي ZU1</v>
      </c>
      <c r="D1440" s="3" t="str">
        <f>"0204001272"</f>
        <v>0204001272</v>
      </c>
      <c r="E1440" s="3" t="str">
        <f>"واشر اسپيرال تيپ A سايز 3/5 *226 *235"</f>
        <v>واشر اسپيرال تيپ A سايز 3/5 *226 *235</v>
      </c>
      <c r="F1440" s="3" t="str">
        <f>"عدد"</f>
        <v>عدد</v>
      </c>
      <c r="G1440" s="3">
        <v>20</v>
      </c>
      <c r="H1440" s="5">
        <v>11600000</v>
      </c>
    </row>
    <row r="1441" spans="1:8" ht="18.75" x14ac:dyDescent="0.2">
      <c r="A1441" s="3" t="str">
        <f t="shared" si="177"/>
        <v>98/11/26</v>
      </c>
      <c r="B1441" s="3" t="str">
        <f t="shared" si="178"/>
        <v>كالاهاي مصرفي</v>
      </c>
      <c r="C1441" s="3" t="str">
        <f t="shared" si="181"/>
        <v>انبار مصرفي ZU1</v>
      </c>
      <c r="D1441" s="3" t="str">
        <f>"0215000201"</f>
        <v>0215000201</v>
      </c>
      <c r="E1441" s="3" t="str">
        <f>"فيلتر هوا AF25278"</f>
        <v>فيلتر هوا AF25278</v>
      </c>
      <c r="F1441" s="3" t="str">
        <f>"عدد"</f>
        <v>عدد</v>
      </c>
      <c r="G1441" s="3">
        <v>2</v>
      </c>
      <c r="H1441" s="5">
        <v>11600000</v>
      </c>
    </row>
    <row r="1442" spans="1:8" ht="18.75" x14ac:dyDescent="0.2">
      <c r="A1442" s="3" t="str">
        <f t="shared" si="177"/>
        <v>98/11/26</v>
      </c>
      <c r="B1442" s="3" t="str">
        <f t="shared" si="178"/>
        <v>كالاهاي مصرفي</v>
      </c>
      <c r="C1442" s="3" t="str">
        <f t="shared" si="181"/>
        <v>انبار مصرفي ZU1</v>
      </c>
      <c r="D1442" s="3" t="str">
        <f>"0215000170"</f>
        <v>0215000170</v>
      </c>
      <c r="E1442" s="3" t="str">
        <f>"روغن صنعتي 15w 40"</f>
        <v>روغن صنعتي 15w 40</v>
      </c>
      <c r="F1442" s="3" t="str">
        <f>"ليتر"</f>
        <v>ليتر</v>
      </c>
      <c r="G1442" s="3">
        <v>120</v>
      </c>
      <c r="H1442" s="5">
        <v>11613000</v>
      </c>
    </row>
    <row r="1443" spans="1:8" ht="18.75" x14ac:dyDescent="0.2">
      <c r="A1443" s="3" t="str">
        <f t="shared" si="177"/>
        <v>98/11/26</v>
      </c>
      <c r="B1443" s="3" t="str">
        <f t="shared" si="178"/>
        <v>كالاهاي مصرفي</v>
      </c>
      <c r="C1443" s="3" t="str">
        <f t="shared" si="181"/>
        <v>انبار مصرفي ZU1</v>
      </c>
      <c r="D1443" s="3" t="str">
        <f>"0204001200"</f>
        <v>0204001200</v>
      </c>
      <c r="E1443" s="3" t="str">
        <f>"بيرينگ 22220"</f>
        <v>بيرينگ 22220</v>
      </c>
      <c r="F1443" s="3" t="str">
        <f>"عدد"</f>
        <v>عدد</v>
      </c>
      <c r="G1443" s="3">
        <v>3</v>
      </c>
      <c r="H1443" s="5">
        <v>11631428</v>
      </c>
    </row>
    <row r="1444" spans="1:8" ht="18.75" x14ac:dyDescent="0.2">
      <c r="A1444" s="3" t="str">
        <f t="shared" si="177"/>
        <v>98/11/26</v>
      </c>
      <c r="B1444" s="3" t="str">
        <f t="shared" si="178"/>
        <v>كالاهاي مصرفي</v>
      </c>
      <c r="C1444" s="3" t="str">
        <f t="shared" si="181"/>
        <v>انبار مصرفي ZU1</v>
      </c>
      <c r="D1444" s="3" t="str">
        <f>"0204001672"</f>
        <v>0204001672</v>
      </c>
      <c r="E1444" s="3" t="str">
        <f>"اورينگ HNBR190*3"</f>
        <v>اورينگ HNBR190*3</v>
      </c>
      <c r="F1444" s="3" t="str">
        <f>"عدد"</f>
        <v>عدد</v>
      </c>
      <c r="G1444" s="3">
        <v>30</v>
      </c>
      <c r="H1444" s="5">
        <v>11677500</v>
      </c>
    </row>
    <row r="1445" spans="1:8" ht="18.75" x14ac:dyDescent="0.2">
      <c r="A1445" s="3" t="str">
        <f t="shared" si="177"/>
        <v>98/11/26</v>
      </c>
      <c r="B1445" s="3" t="str">
        <f t="shared" si="178"/>
        <v>كالاهاي مصرفي</v>
      </c>
      <c r="C1445" s="3" t="str">
        <f t="shared" si="181"/>
        <v>انبار مصرفي ZU1</v>
      </c>
      <c r="D1445" s="3" t="str">
        <f>"0204001367"</f>
        <v>0204001367</v>
      </c>
      <c r="E1445" s="3" t="str">
        <f>"اورينگ HNBR 230*4"</f>
        <v>اورينگ HNBR 230*4</v>
      </c>
      <c r="F1445" s="3" t="str">
        <f>"عدد"</f>
        <v>عدد</v>
      </c>
      <c r="G1445" s="3">
        <v>19</v>
      </c>
      <c r="H1445" s="5">
        <v>11685000</v>
      </c>
    </row>
    <row r="1446" spans="1:8" ht="18.75" x14ac:dyDescent="0.2">
      <c r="A1446" s="3" t="str">
        <f t="shared" si="177"/>
        <v>98/11/26</v>
      </c>
      <c r="B1446" s="3" t="str">
        <f t="shared" si="178"/>
        <v>كالاهاي مصرفي</v>
      </c>
      <c r="C1446" s="3" t="str">
        <f t="shared" si="181"/>
        <v>انبار مصرفي ZU1</v>
      </c>
      <c r="D1446" s="3" t="str">
        <f>"0203000092"</f>
        <v>0203000092</v>
      </c>
      <c r="E1446" s="3" t="str">
        <f>"دم باريك"</f>
        <v>دم باريك</v>
      </c>
      <c r="F1446" s="3" t="str">
        <f>"عدد"</f>
        <v>عدد</v>
      </c>
      <c r="G1446" s="3">
        <v>22</v>
      </c>
      <c r="H1446" s="5">
        <v>11698156</v>
      </c>
    </row>
    <row r="1447" spans="1:8" ht="18.75" x14ac:dyDescent="0.2">
      <c r="A1447" s="3" t="str">
        <f t="shared" si="177"/>
        <v>98/11/26</v>
      </c>
      <c r="B1447" s="3" t="str">
        <f t="shared" si="178"/>
        <v>كالاهاي مصرفي</v>
      </c>
      <c r="C1447" s="3" t="str">
        <f t="shared" si="181"/>
        <v>انبار مصرفي ZU1</v>
      </c>
      <c r="D1447" s="3" t="str">
        <f>"0204001563"</f>
        <v>0204001563</v>
      </c>
      <c r="E1447" s="3" t="str">
        <f>"صفحات لاستيك آببندي معمولي ضخامت 6 ميليمتر"</f>
        <v>صفحات لاستيك آببندي معمولي ضخامت 6 ميليمتر</v>
      </c>
      <c r="F1447" s="3" t="str">
        <f>"کيلوگرم"</f>
        <v>کيلوگرم</v>
      </c>
      <c r="G1447" s="3">
        <v>118</v>
      </c>
      <c r="H1447" s="5">
        <v>11800000</v>
      </c>
    </row>
    <row r="1448" spans="1:8" ht="18.75" x14ac:dyDescent="0.2">
      <c r="A1448" s="3" t="str">
        <f t="shared" si="177"/>
        <v>98/11/26</v>
      </c>
      <c r="B1448" s="3" t="str">
        <f t="shared" si="178"/>
        <v>كالاهاي مصرفي</v>
      </c>
      <c r="C1448" s="3" t="str">
        <f t="shared" si="181"/>
        <v>انبار مصرفي ZU1</v>
      </c>
      <c r="D1448" s="3" t="str">
        <f>"0204001141"</f>
        <v>0204001141</v>
      </c>
      <c r="E1448" s="3" t="str">
        <f>"صفحات لاستيك آببندي مقاوم در مقابل محيط اسيدي و بازي ضخامت 3"</f>
        <v>صفحات لاستيك آببندي مقاوم در مقابل محيط اسيدي و بازي ضخامت 3</v>
      </c>
      <c r="F1448" s="3" t="str">
        <f>"متر مربع"</f>
        <v>متر مربع</v>
      </c>
      <c r="G1448" s="3">
        <v>2</v>
      </c>
      <c r="H1448" s="5">
        <v>11880000</v>
      </c>
    </row>
    <row r="1449" spans="1:8" ht="18.75" x14ac:dyDescent="0.2">
      <c r="A1449" s="3" t="str">
        <f t="shared" si="177"/>
        <v>98/11/26</v>
      </c>
      <c r="B1449" s="3" t="str">
        <f t="shared" si="178"/>
        <v>كالاهاي مصرفي</v>
      </c>
      <c r="C1449" s="3" t="str">
        <f>"انبار مركزي ( عمومي )"</f>
        <v>انبار مركزي ( عمومي )</v>
      </c>
      <c r="D1449" s="3" t="str">
        <f>"0211000049"</f>
        <v>0211000049</v>
      </c>
      <c r="E1449" s="3" t="str">
        <f>"طناب ابريشمي 20mm"</f>
        <v>طناب ابريشمي 20mm</v>
      </c>
      <c r="F1449" s="3" t="str">
        <f>"متر"</f>
        <v>متر</v>
      </c>
      <c r="G1449" s="3">
        <v>142</v>
      </c>
      <c r="H1449" s="5">
        <v>11930000</v>
      </c>
    </row>
    <row r="1450" spans="1:8" ht="18.75" x14ac:dyDescent="0.2">
      <c r="A1450" s="3" t="str">
        <f t="shared" si="177"/>
        <v>98/11/26</v>
      </c>
      <c r="B1450" s="3" t="str">
        <f t="shared" si="178"/>
        <v>كالاهاي مصرفي</v>
      </c>
      <c r="C1450" s="3" t="str">
        <f>"انبار مصرفي ZU1"</f>
        <v>انبار مصرفي ZU1</v>
      </c>
      <c r="D1450" s="3" t="str">
        <f>"0204001767"</f>
        <v>0204001767</v>
      </c>
      <c r="E1450" s="3" t="str">
        <f>"اورينگ HNBR ضخامت 4 ميليمتر"</f>
        <v>اورينگ HNBR ضخامت 4 ميليمتر</v>
      </c>
      <c r="F1450" s="3" t="str">
        <f>"متر"</f>
        <v>متر</v>
      </c>
      <c r="G1450" s="3">
        <v>10</v>
      </c>
      <c r="H1450" s="5">
        <v>11960000</v>
      </c>
    </row>
    <row r="1451" spans="1:8" ht="18.75" x14ac:dyDescent="0.2">
      <c r="A1451" s="3" t="str">
        <f t="shared" si="177"/>
        <v>98/11/26</v>
      </c>
      <c r="B1451" s="3" t="str">
        <f t="shared" si="178"/>
        <v>كالاهاي مصرفي</v>
      </c>
      <c r="C1451" s="3" t="str">
        <f>"انبار مصرفي ZU1"</f>
        <v>انبار مصرفي ZU1</v>
      </c>
      <c r="D1451" s="3" t="str">
        <f>"0204000442"</f>
        <v>0204000442</v>
      </c>
      <c r="E1451" s="3" t="str">
        <f>"نوارلاستيكي با مقطع گرد قطر 8ميليمتر NBR"</f>
        <v>نوارلاستيكي با مقطع گرد قطر 8ميليمتر NBR</v>
      </c>
      <c r="F1451" s="3" t="str">
        <f>"متر"</f>
        <v>متر</v>
      </c>
      <c r="G1451" s="3">
        <v>635</v>
      </c>
      <c r="H1451" s="5">
        <v>11968000</v>
      </c>
    </row>
    <row r="1452" spans="1:8" ht="18.75" x14ac:dyDescent="0.2">
      <c r="A1452" s="3" t="str">
        <f t="shared" si="177"/>
        <v>98/11/26</v>
      </c>
      <c r="B1452" s="3" t="str">
        <f t="shared" si="178"/>
        <v>كالاهاي مصرفي</v>
      </c>
      <c r="C1452" s="3" t="str">
        <f>"انبار مصرفي ZU1"</f>
        <v>انبار مصرفي ZU1</v>
      </c>
      <c r="D1452" s="3" t="str">
        <f>"0601000081"</f>
        <v>0601000081</v>
      </c>
      <c r="E1452" s="3" t="str">
        <f>"دستكش لاستيكي ضد روغن"</f>
        <v>دستكش لاستيكي ضد روغن</v>
      </c>
      <c r="F1452" s="3" t="str">
        <f>"جفت"</f>
        <v>جفت</v>
      </c>
      <c r="G1452" s="3">
        <v>85</v>
      </c>
      <c r="H1452" s="5">
        <v>11985000</v>
      </c>
    </row>
    <row r="1453" spans="1:8" ht="18.75" x14ac:dyDescent="0.2">
      <c r="A1453" s="3" t="str">
        <f t="shared" si="177"/>
        <v>98/11/26</v>
      </c>
      <c r="B1453" s="3" t="str">
        <f t="shared" si="178"/>
        <v>كالاهاي مصرفي</v>
      </c>
      <c r="C1453" s="3" t="str">
        <f>"انبار مركزي ( عمومي )"</f>
        <v>انبار مركزي ( عمومي )</v>
      </c>
      <c r="D1453" s="3" t="str">
        <f>"0105000147"</f>
        <v>0105000147</v>
      </c>
      <c r="E1453" s="3" t="str">
        <f>"روغن سمباده نرم و زبر (جهان  سايش و تهران سايش )"</f>
        <v>روغن سمباده نرم و زبر (جهان  سايش و تهران سايش )</v>
      </c>
      <c r="F1453" s="3" t="str">
        <f>"قوطي"</f>
        <v>قوطي</v>
      </c>
      <c r="G1453" s="3">
        <v>40</v>
      </c>
      <c r="H1453" s="5">
        <v>12000000</v>
      </c>
    </row>
    <row r="1454" spans="1:8" ht="18.75" x14ac:dyDescent="0.2">
      <c r="A1454" s="3" t="str">
        <f t="shared" si="177"/>
        <v>98/11/26</v>
      </c>
      <c r="B1454" s="3" t="str">
        <f t="shared" si="178"/>
        <v>كالاهاي مصرفي</v>
      </c>
      <c r="C1454" s="3" t="str">
        <f>"انبار مصرفي ZU1"</f>
        <v>انبار مصرفي ZU1</v>
      </c>
      <c r="D1454" s="3" t="str">
        <f>"0204001116"</f>
        <v>0204001116</v>
      </c>
      <c r="E1454" s="3" t="str">
        <f>"لاستيك آببندي تيپ 4"</f>
        <v>لاستيك آببندي تيپ 4</v>
      </c>
      <c r="F1454" s="3" t="str">
        <f>"متر"</f>
        <v>متر</v>
      </c>
      <c r="G1454" s="3">
        <v>20</v>
      </c>
      <c r="H1454" s="5">
        <v>12000000</v>
      </c>
    </row>
    <row r="1455" spans="1:8" ht="18.75" x14ac:dyDescent="0.2">
      <c r="A1455" s="3" t="str">
        <f t="shared" si="177"/>
        <v>98/11/26</v>
      </c>
      <c r="B1455" s="3" t="str">
        <f t="shared" si="178"/>
        <v>كالاهاي مصرفي</v>
      </c>
      <c r="C1455" s="3" t="str">
        <f>"انبار مصرفي ZU1"</f>
        <v>انبار مصرفي ZU1</v>
      </c>
      <c r="D1455" s="3" t="str">
        <f>"0204001951"</f>
        <v>0204001951</v>
      </c>
      <c r="E1455" s="3" t="str">
        <f>"واشر آببندي اسپيرال SWG 1A-1-494x466x4,5"</f>
        <v>واشر آببندي اسپيرال SWG 1A-1-494x466x4,5</v>
      </c>
      <c r="F1455" s="3" t="str">
        <f t="shared" ref="F1455:F1470" si="182">"عدد"</f>
        <v>عدد</v>
      </c>
      <c r="G1455" s="3">
        <v>10</v>
      </c>
      <c r="H1455" s="5">
        <v>12000000</v>
      </c>
    </row>
    <row r="1456" spans="1:8" ht="18.75" x14ac:dyDescent="0.2">
      <c r="A1456" s="3" t="str">
        <f t="shared" si="177"/>
        <v>98/11/26</v>
      </c>
      <c r="B1456" s="3" t="str">
        <f t="shared" si="178"/>
        <v>كالاهاي مصرفي</v>
      </c>
      <c r="C1456" s="3" t="str">
        <f>"انبار مركزي ( عمومي )"</f>
        <v>انبار مركزي ( عمومي )</v>
      </c>
      <c r="D1456" s="3" t="str">
        <f>"0206000201"</f>
        <v>0206000201</v>
      </c>
      <c r="E1456" s="3" t="str">
        <f>"شير درختي دسته گازي 1/2"</f>
        <v>شير درختي دسته گازي 1/2</v>
      </c>
      <c r="F1456" s="3" t="str">
        <f t="shared" si="182"/>
        <v>عدد</v>
      </c>
      <c r="G1456" s="3">
        <v>50</v>
      </c>
      <c r="H1456" s="5">
        <v>12000000</v>
      </c>
    </row>
    <row r="1457" spans="1:8" ht="18.75" x14ac:dyDescent="0.2">
      <c r="A1457" s="3" t="str">
        <f t="shared" si="177"/>
        <v>98/11/26</v>
      </c>
      <c r="B1457" s="3" t="str">
        <f t="shared" si="178"/>
        <v>كالاهاي مصرفي</v>
      </c>
      <c r="C1457" s="3" t="str">
        <f>"انبار مصرفي ZU1"</f>
        <v>انبار مصرفي ZU1</v>
      </c>
      <c r="D1457" s="3" t="str">
        <f>"0213000143"</f>
        <v>0213000143</v>
      </c>
      <c r="E1457" s="3" t="str">
        <f>"پيچ M20*50"</f>
        <v>پيچ M20*50</v>
      </c>
      <c r="F1457" s="3" t="str">
        <f t="shared" si="182"/>
        <v>عدد</v>
      </c>
      <c r="G1457" s="3">
        <v>383</v>
      </c>
      <c r="H1457" s="5">
        <v>12064500</v>
      </c>
    </row>
    <row r="1458" spans="1:8" ht="18.75" x14ac:dyDescent="0.2">
      <c r="A1458" s="3" t="str">
        <f t="shared" si="177"/>
        <v>98/11/26</v>
      </c>
      <c r="B1458" s="3" t="str">
        <f t="shared" si="178"/>
        <v>كالاهاي مصرفي</v>
      </c>
      <c r="C1458" s="3" t="str">
        <f>"انبار مصرفي ZU1"</f>
        <v>انبار مصرفي ZU1</v>
      </c>
      <c r="D1458" s="3" t="str">
        <f>"0204001681"</f>
        <v>0204001681</v>
      </c>
      <c r="E1458" s="3" t="str">
        <f>"اورينگ HNBR 480*5.8"</f>
        <v>اورينگ HNBR 480*5.8</v>
      </c>
      <c r="F1458" s="3" t="str">
        <f t="shared" si="182"/>
        <v>عدد</v>
      </c>
      <c r="G1458" s="3">
        <v>10</v>
      </c>
      <c r="H1458" s="5">
        <v>12073750</v>
      </c>
    </row>
    <row r="1459" spans="1:8" ht="18.75" x14ac:dyDescent="0.2">
      <c r="A1459" s="3" t="str">
        <f t="shared" si="177"/>
        <v>98/11/26</v>
      </c>
      <c r="B1459" s="3" t="str">
        <f t="shared" si="178"/>
        <v>كالاهاي مصرفي</v>
      </c>
      <c r="C1459" s="3" t="str">
        <f>"انبار مصرفي ZU1"</f>
        <v>انبار مصرفي ZU1</v>
      </c>
      <c r="D1459" s="3" t="str">
        <f>"0204001342"</f>
        <v>0204001342</v>
      </c>
      <c r="E1459" s="3" t="str">
        <f>"اورينگ HNBR 580*6.0"</f>
        <v>اورينگ HNBR 580*6.0</v>
      </c>
      <c r="F1459" s="3" t="str">
        <f t="shared" si="182"/>
        <v>عدد</v>
      </c>
      <c r="G1459" s="3">
        <v>12</v>
      </c>
      <c r="H1459" s="5">
        <v>12084000</v>
      </c>
    </row>
    <row r="1460" spans="1:8" ht="18.75" x14ac:dyDescent="0.2">
      <c r="A1460" s="3" t="str">
        <f t="shared" si="177"/>
        <v>98/11/26</v>
      </c>
      <c r="B1460" s="3" t="str">
        <f t="shared" si="178"/>
        <v>كالاهاي مصرفي</v>
      </c>
      <c r="C1460" s="3" t="str">
        <f>"انبار مركزي ( عمومي )"</f>
        <v>انبار مركزي ( عمومي )</v>
      </c>
      <c r="D1460" s="3" t="str">
        <f>"0211000974"</f>
        <v>0211000974</v>
      </c>
      <c r="E1460" s="3" t="str">
        <f>"سيم چين برق"</f>
        <v>سيم چين برق</v>
      </c>
      <c r="F1460" s="3" t="str">
        <f t="shared" si="182"/>
        <v>عدد</v>
      </c>
      <c r="G1460" s="3">
        <v>16</v>
      </c>
      <c r="H1460" s="5">
        <v>12113333</v>
      </c>
    </row>
    <row r="1461" spans="1:8" ht="18.75" x14ac:dyDescent="0.2">
      <c r="A1461" s="3" t="str">
        <f t="shared" si="177"/>
        <v>98/11/26</v>
      </c>
      <c r="B1461" s="3" t="str">
        <f t="shared" si="178"/>
        <v>كالاهاي مصرفي</v>
      </c>
      <c r="C1461" s="3" t="str">
        <f>"انبار مصرفي ZU1"</f>
        <v>انبار مصرفي ZU1</v>
      </c>
      <c r="D1461" s="3" t="str">
        <f>"0213000160"</f>
        <v>0213000160</v>
      </c>
      <c r="E1461" s="3" t="str">
        <f>"پيچ دو سر رزوه M18*100"</f>
        <v>پيچ دو سر رزوه M18*100</v>
      </c>
      <c r="F1461" s="3" t="str">
        <f t="shared" si="182"/>
        <v>عدد</v>
      </c>
      <c r="G1461" s="3">
        <v>392</v>
      </c>
      <c r="H1461" s="5">
        <v>12136320</v>
      </c>
    </row>
    <row r="1462" spans="1:8" ht="18.75" x14ac:dyDescent="0.2">
      <c r="A1462" s="3" t="str">
        <f t="shared" si="177"/>
        <v>98/11/26</v>
      </c>
      <c r="B1462" s="3" t="str">
        <f t="shared" si="178"/>
        <v>كالاهاي مصرفي</v>
      </c>
      <c r="C1462" s="3" t="str">
        <f>"انبار مصرفي ZU1"</f>
        <v>انبار مصرفي ZU1</v>
      </c>
      <c r="D1462" s="3" t="str">
        <f>"0204001680"</f>
        <v>0204001680</v>
      </c>
      <c r="E1462" s="3" t="str">
        <f>"اورينگ HNBR 500*5.8"</f>
        <v>اورينگ HNBR 500*5.8</v>
      </c>
      <c r="F1462" s="3" t="str">
        <f t="shared" si="182"/>
        <v>عدد</v>
      </c>
      <c r="G1462" s="3">
        <v>10</v>
      </c>
      <c r="H1462" s="5">
        <v>12273750</v>
      </c>
    </row>
    <row r="1463" spans="1:8" ht="18.75" x14ac:dyDescent="0.2">
      <c r="A1463" s="3" t="str">
        <f t="shared" si="177"/>
        <v>98/11/26</v>
      </c>
      <c r="B1463" s="3" t="str">
        <f t="shared" si="178"/>
        <v>كالاهاي مصرفي</v>
      </c>
      <c r="C1463" s="3" t="str">
        <f>"انبار مصرفي ZU1"</f>
        <v>انبار مصرفي ZU1</v>
      </c>
      <c r="D1463" s="3" t="str">
        <f>"0211001721"</f>
        <v>0211001721</v>
      </c>
      <c r="E1463" s="3" t="str">
        <f>"شيم پليت ضخامت 0/1 به ابعاد 125 *125"</f>
        <v>شيم پليت ضخامت 0/1 به ابعاد 125 *125</v>
      </c>
      <c r="F1463" s="3" t="str">
        <f t="shared" si="182"/>
        <v>عدد</v>
      </c>
      <c r="G1463" s="3">
        <v>64</v>
      </c>
      <c r="H1463" s="5">
        <v>12352000</v>
      </c>
    </row>
    <row r="1464" spans="1:8" ht="18.75" x14ac:dyDescent="0.2">
      <c r="A1464" s="3" t="str">
        <f t="shared" si="177"/>
        <v>98/11/26</v>
      </c>
      <c r="B1464" s="3" t="str">
        <f t="shared" si="178"/>
        <v>كالاهاي مصرفي</v>
      </c>
      <c r="C1464" s="3" t="str">
        <f>"انبار مصرفي ZU1"</f>
        <v>انبار مصرفي ZU1</v>
      </c>
      <c r="D1464" s="3" t="str">
        <f>"0204001963"</f>
        <v>0204001963</v>
      </c>
      <c r="E1464" s="3" t="str">
        <f>"بوش چدني با قطر داخلي 120 و قطر خارجي 140 و ارتفاع 40 ميليمتر"</f>
        <v>بوش چدني با قطر داخلي 120 و قطر خارجي 140 و ارتفاع 40 ميليمتر</v>
      </c>
      <c r="F1464" s="3" t="str">
        <f t="shared" si="182"/>
        <v>عدد</v>
      </c>
      <c r="G1464" s="3">
        <v>4</v>
      </c>
      <c r="H1464" s="5">
        <v>12400000</v>
      </c>
    </row>
    <row r="1465" spans="1:8" ht="18.75" x14ac:dyDescent="0.2">
      <c r="A1465" s="3" t="str">
        <f t="shared" si="177"/>
        <v>98/11/26</v>
      </c>
      <c r="B1465" s="3" t="str">
        <f t="shared" si="178"/>
        <v>كالاهاي مصرفي</v>
      </c>
      <c r="C1465" s="3" t="str">
        <f>"انبار مركزي ( عمومي )"</f>
        <v>انبار مركزي ( عمومي )</v>
      </c>
      <c r="D1465" s="3" t="str">
        <f>"0906000381"</f>
        <v>0906000381</v>
      </c>
      <c r="E1465" s="3" t="str">
        <f>"VGA,Component to HDMI"</f>
        <v>VGA,Component to HDMI</v>
      </c>
      <c r="F1465" s="3" t="str">
        <f t="shared" si="182"/>
        <v>عدد</v>
      </c>
      <c r="G1465" s="3">
        <v>2</v>
      </c>
      <c r="H1465" s="5">
        <v>12400000</v>
      </c>
    </row>
    <row r="1466" spans="1:8" ht="18.75" x14ac:dyDescent="0.2">
      <c r="A1466" s="3" t="str">
        <f t="shared" si="177"/>
        <v>98/11/26</v>
      </c>
      <c r="B1466" s="3" t="str">
        <f t="shared" si="178"/>
        <v>كالاهاي مصرفي</v>
      </c>
      <c r="C1466" s="3" t="str">
        <f>"انبار مصرفي ZU1"</f>
        <v>انبار مصرفي ZU1</v>
      </c>
      <c r="D1466" s="3" t="str">
        <f>"0105000007"</f>
        <v>0105000007</v>
      </c>
      <c r="E1466" s="3" t="str">
        <f>"اسپري خشك ( اسپري كنتاكشور )"</f>
        <v>اسپري خشك ( اسپري كنتاكشور )</v>
      </c>
      <c r="F1466" s="3" t="str">
        <f t="shared" si="182"/>
        <v>عدد</v>
      </c>
      <c r="G1466" s="3">
        <v>108</v>
      </c>
      <c r="H1466" s="5">
        <v>12420000</v>
      </c>
    </row>
    <row r="1467" spans="1:8" ht="18.75" x14ac:dyDescent="0.2">
      <c r="A1467" s="3" t="str">
        <f t="shared" si="177"/>
        <v>98/11/26</v>
      </c>
      <c r="B1467" s="3" t="str">
        <f t="shared" si="178"/>
        <v>كالاهاي مصرفي</v>
      </c>
      <c r="C1467" s="3" t="str">
        <f>"انبار مصرفي ZU1"</f>
        <v>انبار مصرفي ZU1</v>
      </c>
      <c r="D1467" s="3" t="str">
        <f>"0204002125"</f>
        <v>0204002125</v>
      </c>
      <c r="E1467" s="3" t="str">
        <f>"بيرينگ 6318"</f>
        <v>بيرينگ 6318</v>
      </c>
      <c r="F1467" s="3" t="str">
        <f t="shared" si="182"/>
        <v>عدد</v>
      </c>
      <c r="G1467" s="3">
        <v>2</v>
      </c>
      <c r="H1467" s="5">
        <v>12420000</v>
      </c>
    </row>
    <row r="1468" spans="1:8" ht="18.75" x14ac:dyDescent="0.2">
      <c r="A1468" s="3" t="str">
        <f t="shared" si="177"/>
        <v>98/11/26</v>
      </c>
      <c r="B1468" s="3" t="str">
        <f t="shared" si="178"/>
        <v>كالاهاي مصرفي</v>
      </c>
      <c r="C1468" s="3" t="str">
        <f>"انبار مصرفي ZU1"</f>
        <v>انبار مصرفي ZU1</v>
      </c>
      <c r="D1468" s="3" t="str">
        <f>"0204000694"</f>
        <v>0204000694</v>
      </c>
      <c r="E1468" s="3" t="str">
        <f>"واشر آببند شير كيد 150mm"</f>
        <v>واشر آببند شير كيد 150mm</v>
      </c>
      <c r="F1468" s="3" t="str">
        <f t="shared" si="182"/>
        <v>عدد</v>
      </c>
      <c r="G1468" s="3">
        <v>83</v>
      </c>
      <c r="H1468" s="5">
        <v>12450000</v>
      </c>
    </row>
    <row r="1469" spans="1:8" ht="18.75" x14ac:dyDescent="0.2">
      <c r="A1469" s="3" t="str">
        <f t="shared" si="177"/>
        <v>98/11/26</v>
      </c>
      <c r="B1469" s="3" t="str">
        <f t="shared" si="178"/>
        <v>كالاهاي مصرفي</v>
      </c>
      <c r="C1469" s="3" t="str">
        <f>"انبار مصرفي ZU1"</f>
        <v>انبار مصرفي ZU1</v>
      </c>
      <c r="D1469" s="3" t="str">
        <f>"0204002065"</f>
        <v>0204002065</v>
      </c>
      <c r="E1469" s="3" t="str">
        <f>"كاسه نمد تيپ H 40*60*10-2.5 كمپرسور US"</f>
        <v>كاسه نمد تيپ H 40*60*10-2.5 كمپرسور US</v>
      </c>
      <c r="F1469" s="3" t="str">
        <f t="shared" si="182"/>
        <v>عدد</v>
      </c>
      <c r="G1469" s="3">
        <v>10</v>
      </c>
      <c r="H1469" s="5">
        <v>12450000</v>
      </c>
    </row>
    <row r="1470" spans="1:8" ht="18.75" x14ac:dyDescent="0.2">
      <c r="A1470" s="3" t="str">
        <f t="shared" si="177"/>
        <v>98/11/26</v>
      </c>
      <c r="B1470" s="3" t="str">
        <f t="shared" si="178"/>
        <v>كالاهاي مصرفي</v>
      </c>
      <c r="C1470" s="3" t="str">
        <f>"انبار مصرفي ZU1"</f>
        <v>انبار مصرفي ZU1</v>
      </c>
      <c r="D1470" s="3" t="str">
        <f>"0211001760"</f>
        <v>0211001760</v>
      </c>
      <c r="E1470" s="3" t="str">
        <f>"شيم پليت ضخامت0/2به ابعاد 75 *75"</f>
        <v>شيم پليت ضخامت0/2به ابعاد 75 *75</v>
      </c>
      <c r="F1470" s="3" t="str">
        <f t="shared" si="182"/>
        <v>عدد</v>
      </c>
      <c r="G1470" s="3">
        <v>60</v>
      </c>
      <c r="H1470" s="5">
        <v>12460000</v>
      </c>
    </row>
    <row r="1471" spans="1:8" ht="18.75" x14ac:dyDescent="0.2">
      <c r="A1471" s="3" t="str">
        <f t="shared" si="177"/>
        <v>98/11/26</v>
      </c>
      <c r="B1471" s="3" t="str">
        <f t="shared" si="178"/>
        <v>كالاهاي مصرفي</v>
      </c>
      <c r="C1471" s="3" t="str">
        <f>"انبار مركزي ( عمومي )"</f>
        <v>انبار مركزي ( عمومي )</v>
      </c>
      <c r="D1471" s="3" t="str">
        <f>"0203000088"</f>
        <v>0203000088</v>
      </c>
      <c r="E1471" s="3" t="str">
        <f>"آچار الن پايه بلند"</f>
        <v>آچار الن پايه بلند</v>
      </c>
      <c r="F1471" s="3" t="str">
        <f>"دست"</f>
        <v>دست</v>
      </c>
      <c r="G1471" s="3">
        <v>16</v>
      </c>
      <c r="H1471" s="5">
        <v>12464656</v>
      </c>
    </row>
    <row r="1472" spans="1:8" ht="18.75" x14ac:dyDescent="0.2">
      <c r="A1472" s="3" t="str">
        <f t="shared" si="177"/>
        <v>98/11/26</v>
      </c>
      <c r="B1472" s="3" t="str">
        <f t="shared" si="178"/>
        <v>كالاهاي مصرفي</v>
      </c>
      <c r="C1472" s="3" t="str">
        <f t="shared" ref="C1472:C1481" si="183">"انبار مصرفي ZU1"</f>
        <v>انبار مصرفي ZU1</v>
      </c>
      <c r="D1472" s="3" t="str">
        <f>"0204001670"</f>
        <v>0204001670</v>
      </c>
      <c r="E1472" s="3" t="str">
        <f>"اورينگ HNBR 150*3"</f>
        <v>اورينگ HNBR 150*3</v>
      </c>
      <c r="F1472" s="3" t="str">
        <f>"عدد"</f>
        <v>عدد</v>
      </c>
      <c r="G1472" s="3">
        <v>29</v>
      </c>
      <c r="H1472" s="5">
        <v>12488125</v>
      </c>
    </row>
    <row r="1473" spans="1:8" ht="18.75" x14ac:dyDescent="0.2">
      <c r="A1473" s="3" t="str">
        <f t="shared" si="177"/>
        <v>98/11/26</v>
      </c>
      <c r="B1473" s="3" t="str">
        <f t="shared" si="178"/>
        <v>كالاهاي مصرفي</v>
      </c>
      <c r="C1473" s="3" t="str">
        <f t="shared" si="183"/>
        <v>انبار مصرفي ZU1</v>
      </c>
      <c r="D1473" s="3" t="str">
        <f>"0204000247"</f>
        <v>0204000247</v>
      </c>
      <c r="E1473" s="3" t="str">
        <f>"پكينگ آبندي فشاري 8* 8  نخ گرافيت كنف دار"</f>
        <v>پكينگ آبندي فشاري 8* 8  نخ گرافيت كنف دار</v>
      </c>
      <c r="F1473" s="3" t="str">
        <f>"کيلوگرم"</f>
        <v>کيلوگرم</v>
      </c>
      <c r="G1473" s="3">
        <v>50</v>
      </c>
      <c r="H1473" s="5">
        <v>12500000</v>
      </c>
    </row>
    <row r="1474" spans="1:8" ht="18.75" x14ac:dyDescent="0.2">
      <c r="A1474" s="3" t="str">
        <f t="shared" ref="A1474:A1537" si="184">"98/11/26"</f>
        <v>98/11/26</v>
      </c>
      <c r="B1474" s="3" t="str">
        <f t="shared" ref="B1474:B1537" si="185">"كالاهاي مصرفي"</f>
        <v>كالاهاي مصرفي</v>
      </c>
      <c r="C1474" s="3" t="str">
        <f t="shared" si="183"/>
        <v>انبار مصرفي ZU1</v>
      </c>
      <c r="D1474" s="3" t="str">
        <f>"0204000517"</f>
        <v>0204000517</v>
      </c>
      <c r="E1474" s="3" t="str">
        <f>"بيرينگ 2RS/C3 -6301"</f>
        <v>بيرينگ 2RS/C3 -6301</v>
      </c>
      <c r="F1474" s="3" t="str">
        <f>"عدد"</f>
        <v>عدد</v>
      </c>
      <c r="G1474" s="3">
        <v>50</v>
      </c>
      <c r="H1474" s="5">
        <v>12500000</v>
      </c>
    </row>
    <row r="1475" spans="1:8" ht="18.75" x14ac:dyDescent="0.2">
      <c r="A1475" s="3" t="str">
        <f t="shared" si="184"/>
        <v>98/11/26</v>
      </c>
      <c r="B1475" s="3" t="str">
        <f t="shared" si="185"/>
        <v>كالاهاي مصرفي</v>
      </c>
      <c r="C1475" s="3" t="str">
        <f t="shared" si="183"/>
        <v>انبار مصرفي ZU1</v>
      </c>
      <c r="D1475" s="3" t="str">
        <f>"0204001271"</f>
        <v>0204001271</v>
      </c>
      <c r="E1475" s="3" t="str">
        <f>"واشر اسپيرال تيپ A سايز 4/5 *200*210"</f>
        <v>واشر اسپيرال تيپ A سايز 4/5 *200*210</v>
      </c>
      <c r="F1475" s="3" t="str">
        <f>"عدد"</f>
        <v>عدد</v>
      </c>
      <c r="G1475" s="3">
        <v>50</v>
      </c>
      <c r="H1475" s="5">
        <v>12500000</v>
      </c>
    </row>
    <row r="1476" spans="1:8" ht="18.75" x14ac:dyDescent="0.2">
      <c r="A1476" s="3" t="str">
        <f t="shared" si="184"/>
        <v>98/11/26</v>
      </c>
      <c r="B1476" s="3" t="str">
        <f t="shared" si="185"/>
        <v>كالاهاي مصرفي</v>
      </c>
      <c r="C1476" s="3" t="str">
        <f t="shared" si="183"/>
        <v>انبار مصرفي ZU1</v>
      </c>
      <c r="D1476" s="3" t="str">
        <f>"0204001784"</f>
        <v>0204001784</v>
      </c>
      <c r="E1476" s="3" t="str">
        <f>"پکينگ آببندي (فشاري) گرافيتي کنف دار 6*6 ميليمتر"</f>
        <v>پکينگ آببندي (فشاري) گرافيتي کنف دار 6*6 ميليمتر</v>
      </c>
      <c r="F1476" s="3" t="str">
        <f>"قرقره"</f>
        <v>قرقره</v>
      </c>
      <c r="G1476" s="3">
        <v>10</v>
      </c>
      <c r="H1476" s="5">
        <v>12500000</v>
      </c>
    </row>
    <row r="1477" spans="1:8" ht="18.75" x14ac:dyDescent="0.2">
      <c r="A1477" s="3" t="str">
        <f t="shared" si="184"/>
        <v>98/11/26</v>
      </c>
      <c r="B1477" s="3" t="str">
        <f t="shared" si="185"/>
        <v>كالاهاي مصرفي</v>
      </c>
      <c r="C1477" s="3" t="str">
        <f t="shared" si="183"/>
        <v>انبار مصرفي ZU1</v>
      </c>
      <c r="D1477" s="3" t="str">
        <f>"0204000567"</f>
        <v>0204000567</v>
      </c>
      <c r="E1477" s="3" t="str">
        <f>"بيرينگ 7307"</f>
        <v>بيرينگ 7307</v>
      </c>
      <c r="F1477" s="3" t="str">
        <f>"عدد"</f>
        <v>عدد</v>
      </c>
      <c r="G1477" s="3">
        <v>3</v>
      </c>
      <c r="H1477" s="5">
        <v>12516000</v>
      </c>
    </row>
    <row r="1478" spans="1:8" ht="18.75" x14ac:dyDescent="0.2">
      <c r="A1478" s="3" t="str">
        <f t="shared" si="184"/>
        <v>98/11/26</v>
      </c>
      <c r="B1478" s="3" t="str">
        <f t="shared" si="185"/>
        <v>كالاهاي مصرفي</v>
      </c>
      <c r="C1478" s="3" t="str">
        <f t="shared" si="183"/>
        <v>انبار مصرفي ZU1</v>
      </c>
      <c r="D1478" s="3" t="str">
        <f>"0204000573"</f>
        <v>0204000573</v>
      </c>
      <c r="E1478" s="3" t="str">
        <f>"بيرينگ 3204-ATN"</f>
        <v>بيرينگ 3204-ATN</v>
      </c>
      <c r="F1478" s="3" t="str">
        <f>"عدد"</f>
        <v>عدد</v>
      </c>
      <c r="G1478" s="3">
        <v>26</v>
      </c>
      <c r="H1478" s="5">
        <v>12570000</v>
      </c>
    </row>
    <row r="1479" spans="1:8" ht="18.75" x14ac:dyDescent="0.2">
      <c r="A1479" s="3" t="str">
        <f t="shared" si="184"/>
        <v>98/11/26</v>
      </c>
      <c r="B1479" s="3" t="str">
        <f t="shared" si="185"/>
        <v>كالاهاي مصرفي</v>
      </c>
      <c r="C1479" s="3" t="str">
        <f t="shared" si="183"/>
        <v>انبار مصرفي ZU1</v>
      </c>
      <c r="D1479" s="3" t="str">
        <f>"0204000486"</f>
        <v>0204000486</v>
      </c>
      <c r="E1479" s="3" t="str">
        <f>"صفحات لاستيك آببندي مقاوم در مقابل مواد نفتي ضخامت 4"</f>
        <v>صفحات لاستيك آببندي مقاوم در مقابل مواد نفتي ضخامت 4</v>
      </c>
      <c r="F1479" s="3" t="str">
        <f>"کيلوگرم"</f>
        <v>کيلوگرم</v>
      </c>
      <c r="G1479" s="3">
        <v>30</v>
      </c>
      <c r="H1479" s="5">
        <v>12600000</v>
      </c>
    </row>
    <row r="1480" spans="1:8" ht="18.75" x14ac:dyDescent="0.2">
      <c r="A1480" s="3" t="str">
        <f t="shared" si="184"/>
        <v>98/11/26</v>
      </c>
      <c r="B1480" s="3" t="str">
        <f t="shared" si="185"/>
        <v>كالاهاي مصرفي</v>
      </c>
      <c r="C1480" s="3" t="str">
        <f t="shared" si="183"/>
        <v>انبار مصرفي ZU1</v>
      </c>
      <c r="D1480" s="3" t="str">
        <f>"0601000101"</f>
        <v>0601000101</v>
      </c>
      <c r="E1480" s="3" t="str">
        <f>"دستكش ضد ارتعاش"</f>
        <v>دستكش ضد ارتعاش</v>
      </c>
      <c r="F1480" s="3" t="str">
        <f>"جفت"</f>
        <v>جفت</v>
      </c>
      <c r="G1480" s="3">
        <v>9</v>
      </c>
      <c r="H1480" s="5">
        <v>12600000</v>
      </c>
    </row>
    <row r="1481" spans="1:8" ht="18.75" x14ac:dyDescent="0.2">
      <c r="A1481" s="3" t="str">
        <f t="shared" si="184"/>
        <v>98/11/26</v>
      </c>
      <c r="B1481" s="3" t="str">
        <f t="shared" si="185"/>
        <v>كالاهاي مصرفي</v>
      </c>
      <c r="C1481" s="3" t="str">
        <f t="shared" si="183"/>
        <v>انبار مصرفي ZU1</v>
      </c>
      <c r="D1481" s="3" t="str">
        <f>"0204000650"</f>
        <v>0204000650</v>
      </c>
      <c r="E1481" s="3" t="str">
        <f>"بيرينگ SY30 TF (UCP206"</f>
        <v>بيرينگ SY30 TF (UCP206</v>
      </c>
      <c r="F1481" s="3" t="str">
        <f>"عدد"</f>
        <v>عدد</v>
      </c>
      <c r="G1481" s="3">
        <v>20</v>
      </c>
      <c r="H1481" s="5">
        <v>12750000</v>
      </c>
    </row>
    <row r="1482" spans="1:8" ht="18.75" x14ac:dyDescent="0.2">
      <c r="A1482" s="3" t="str">
        <f t="shared" si="184"/>
        <v>98/11/26</v>
      </c>
      <c r="B1482" s="3" t="str">
        <f t="shared" si="185"/>
        <v>كالاهاي مصرفي</v>
      </c>
      <c r="C1482" s="3" t="str">
        <f>"انبار مركزي ( عمومي )"</f>
        <v>انبار مركزي ( عمومي )</v>
      </c>
      <c r="D1482" s="3" t="str">
        <f>"0213001030"</f>
        <v>0213001030</v>
      </c>
      <c r="E1482" s="3" t="str">
        <f>"پوساب برچسب دار P150"</f>
        <v>پوساب برچسب دار P150</v>
      </c>
      <c r="F1482" s="3" t="str">
        <f>"برگ"</f>
        <v>برگ</v>
      </c>
      <c r="G1482" s="3">
        <v>170</v>
      </c>
      <c r="H1482" s="5">
        <v>12750000</v>
      </c>
    </row>
    <row r="1483" spans="1:8" ht="18.75" x14ac:dyDescent="0.2">
      <c r="A1483" s="3" t="str">
        <f t="shared" si="184"/>
        <v>98/11/26</v>
      </c>
      <c r="B1483" s="3" t="str">
        <f t="shared" si="185"/>
        <v>كالاهاي مصرفي</v>
      </c>
      <c r="C1483" s="3" t="str">
        <f>"انبار مركزي ( عمومي )"</f>
        <v>انبار مركزي ( عمومي )</v>
      </c>
      <c r="D1483" s="3" t="str">
        <f>"0203000244"</f>
        <v>0203000244</v>
      </c>
      <c r="E1483" s="3" t="str">
        <f>"مته الماسه پنج شياره نمره 16"</f>
        <v>مته الماسه پنج شياره نمره 16</v>
      </c>
      <c r="F1483" s="3" t="str">
        <f>"عدد"</f>
        <v>عدد</v>
      </c>
      <c r="G1483" s="3">
        <v>4</v>
      </c>
      <c r="H1483" s="5">
        <v>12800000</v>
      </c>
    </row>
    <row r="1484" spans="1:8" ht="18.75" x14ac:dyDescent="0.2">
      <c r="A1484" s="3" t="str">
        <f t="shared" si="184"/>
        <v>98/11/26</v>
      </c>
      <c r="B1484" s="3" t="str">
        <f t="shared" si="185"/>
        <v>كالاهاي مصرفي</v>
      </c>
      <c r="C1484" s="3" t="str">
        <f t="shared" ref="C1484:C1496" si="186">"انبار مصرفي ZU1"</f>
        <v>انبار مصرفي ZU1</v>
      </c>
      <c r="D1484" s="3" t="str">
        <f>"0209000453"</f>
        <v>0209000453</v>
      </c>
      <c r="E1484" s="3" t="str">
        <f>"لرزه گير  TL08 D050 دستگاه تهويه"</f>
        <v>لرزه گير  TL08 D050 دستگاه تهويه</v>
      </c>
      <c r="F1484" s="3" t="str">
        <f>"عدد"</f>
        <v>عدد</v>
      </c>
      <c r="G1484" s="3">
        <v>16</v>
      </c>
      <c r="H1484" s="5">
        <v>12800000</v>
      </c>
    </row>
    <row r="1485" spans="1:8" ht="18.75" x14ac:dyDescent="0.2">
      <c r="A1485" s="3" t="str">
        <f t="shared" si="184"/>
        <v>98/11/26</v>
      </c>
      <c r="B1485" s="3" t="str">
        <f t="shared" si="185"/>
        <v>كالاهاي مصرفي</v>
      </c>
      <c r="C1485" s="3" t="str">
        <f t="shared" si="186"/>
        <v>انبار مصرفي ZU1</v>
      </c>
      <c r="D1485" s="3" t="str">
        <f>"0204000523"</f>
        <v>0204000523</v>
      </c>
      <c r="E1485" s="3" t="str">
        <f>"بيرينگ C3-2312"</f>
        <v>بيرينگ C3-2312</v>
      </c>
      <c r="F1485" s="3" t="str">
        <f>"عدد"</f>
        <v>عدد</v>
      </c>
      <c r="G1485" s="3">
        <v>3</v>
      </c>
      <c r="H1485" s="5">
        <v>12825000</v>
      </c>
    </row>
    <row r="1486" spans="1:8" ht="18.75" x14ac:dyDescent="0.2">
      <c r="A1486" s="3" t="str">
        <f t="shared" si="184"/>
        <v>98/11/26</v>
      </c>
      <c r="B1486" s="3" t="str">
        <f t="shared" si="185"/>
        <v>كالاهاي مصرفي</v>
      </c>
      <c r="C1486" s="3" t="str">
        <f t="shared" si="186"/>
        <v>انبار مصرفي ZU1</v>
      </c>
      <c r="D1486" s="3" t="str">
        <f>"0204000389"</f>
        <v>0204000389</v>
      </c>
      <c r="E1486" s="3" t="str">
        <f>"بيرينگ NU316"</f>
        <v>بيرينگ NU316</v>
      </c>
      <c r="F1486" s="3" t="str">
        <f>"عدد"</f>
        <v>عدد</v>
      </c>
      <c r="G1486" s="3">
        <v>3</v>
      </c>
      <c r="H1486" s="5">
        <v>12900000</v>
      </c>
    </row>
    <row r="1487" spans="1:8" ht="18.75" x14ac:dyDescent="0.2">
      <c r="A1487" s="3" t="str">
        <f t="shared" si="184"/>
        <v>98/11/26</v>
      </c>
      <c r="B1487" s="3" t="str">
        <f t="shared" si="185"/>
        <v>كالاهاي مصرفي</v>
      </c>
      <c r="C1487" s="3" t="str">
        <f t="shared" si="186"/>
        <v>انبار مصرفي ZU1</v>
      </c>
      <c r="D1487" s="3" t="str">
        <f>"0105000139"</f>
        <v>0105000139</v>
      </c>
      <c r="E1487" s="3" t="str">
        <f>"چسب دوقلو فشار قوي صنعتي"</f>
        <v>چسب دوقلو فشار قوي صنعتي</v>
      </c>
      <c r="F1487" s="3" t="str">
        <f>"عدد"</f>
        <v>عدد</v>
      </c>
      <c r="G1487" s="3">
        <v>23</v>
      </c>
      <c r="H1487" s="5">
        <v>12960000</v>
      </c>
    </row>
    <row r="1488" spans="1:8" ht="18.75" x14ac:dyDescent="0.2">
      <c r="A1488" s="3" t="str">
        <f t="shared" si="184"/>
        <v>98/11/26</v>
      </c>
      <c r="B1488" s="3" t="str">
        <f t="shared" si="185"/>
        <v>كالاهاي مصرفي</v>
      </c>
      <c r="C1488" s="3" t="str">
        <f t="shared" si="186"/>
        <v>انبار مصرفي ZU1</v>
      </c>
      <c r="D1488" s="3" t="str">
        <f>"0204001157"</f>
        <v>0204001157</v>
      </c>
      <c r="E1488" s="3" t="str">
        <f>"پکينگ آببندي (فشاري) گرافيتي آزبستي 8*8 ميليمتر"</f>
        <v>پکينگ آببندي (فشاري) گرافيتي آزبستي 8*8 ميليمتر</v>
      </c>
      <c r="F1488" s="3" t="str">
        <f>"قرقره"</f>
        <v>قرقره</v>
      </c>
      <c r="G1488" s="3">
        <v>4</v>
      </c>
      <c r="H1488" s="5">
        <v>13000000</v>
      </c>
    </row>
    <row r="1489" spans="1:8" ht="18.75" x14ac:dyDescent="0.2">
      <c r="A1489" s="3" t="str">
        <f t="shared" si="184"/>
        <v>98/11/26</v>
      </c>
      <c r="B1489" s="3" t="str">
        <f t="shared" si="185"/>
        <v>كالاهاي مصرفي</v>
      </c>
      <c r="C1489" s="3" t="str">
        <f t="shared" si="186"/>
        <v>انبار مصرفي ZU1</v>
      </c>
      <c r="D1489" s="3" t="str">
        <f>"0215000154"</f>
        <v>0215000154</v>
      </c>
      <c r="E1489" s="3" t="str">
        <f>"فيلتر روغن ACS 50"</f>
        <v>فيلتر روغن ACS 50</v>
      </c>
      <c r="F1489" s="3" t="str">
        <f>"عدد"</f>
        <v>عدد</v>
      </c>
      <c r="G1489" s="3">
        <v>1</v>
      </c>
      <c r="H1489" s="5">
        <v>13000000</v>
      </c>
    </row>
    <row r="1490" spans="1:8" ht="18.75" x14ac:dyDescent="0.2">
      <c r="A1490" s="3" t="str">
        <f t="shared" si="184"/>
        <v>98/11/26</v>
      </c>
      <c r="B1490" s="3" t="str">
        <f t="shared" si="185"/>
        <v>كالاهاي مصرفي</v>
      </c>
      <c r="C1490" s="3" t="str">
        <f t="shared" si="186"/>
        <v>انبار مصرفي ZU1</v>
      </c>
      <c r="D1490" s="3" t="str">
        <f>"0215000155"</f>
        <v>0215000155</v>
      </c>
      <c r="E1490" s="3" t="str">
        <f>"فيلتر روغن AA 50"</f>
        <v>فيلتر روغن AA 50</v>
      </c>
      <c r="F1490" s="3" t="str">
        <f>"عدد"</f>
        <v>عدد</v>
      </c>
      <c r="G1490" s="3">
        <v>1</v>
      </c>
      <c r="H1490" s="5">
        <v>13000000</v>
      </c>
    </row>
    <row r="1491" spans="1:8" ht="18.75" x14ac:dyDescent="0.2">
      <c r="A1491" s="3" t="str">
        <f t="shared" si="184"/>
        <v>98/11/26</v>
      </c>
      <c r="B1491" s="3" t="str">
        <f t="shared" si="185"/>
        <v>كالاهاي مصرفي</v>
      </c>
      <c r="C1491" s="3" t="str">
        <f t="shared" si="186"/>
        <v>انبار مصرفي ZU1</v>
      </c>
      <c r="D1491" s="3" t="str">
        <f>"0215000156"</f>
        <v>0215000156</v>
      </c>
      <c r="E1491" s="3" t="str">
        <f>"فيلتر روغن AO 50"</f>
        <v>فيلتر روغن AO 50</v>
      </c>
      <c r="F1491" s="3" t="str">
        <f>"عدد"</f>
        <v>عدد</v>
      </c>
      <c r="G1491" s="3">
        <v>1</v>
      </c>
      <c r="H1491" s="5">
        <v>13000000</v>
      </c>
    </row>
    <row r="1492" spans="1:8" ht="18.75" x14ac:dyDescent="0.2">
      <c r="A1492" s="3" t="str">
        <f t="shared" si="184"/>
        <v>98/11/26</v>
      </c>
      <c r="B1492" s="3" t="str">
        <f t="shared" si="185"/>
        <v>كالاهاي مصرفي</v>
      </c>
      <c r="C1492" s="3" t="str">
        <f t="shared" si="186"/>
        <v>انبار مصرفي ZU1</v>
      </c>
      <c r="D1492" s="3" t="str">
        <f>"0204000468"</f>
        <v>0204000468</v>
      </c>
      <c r="E1492" s="3" t="str">
        <f>"گسكت مقاوم به بنزين و روغن به ضخامت 0/5"</f>
        <v>گسكت مقاوم به بنزين و روغن به ضخامت 0/5</v>
      </c>
      <c r="F1492" s="3" t="str">
        <f>"متر مربع"</f>
        <v>متر مربع</v>
      </c>
      <c r="G1492" s="3">
        <v>19.25</v>
      </c>
      <c r="H1492" s="5">
        <v>13022059</v>
      </c>
    </row>
    <row r="1493" spans="1:8" ht="18.75" x14ac:dyDescent="0.2">
      <c r="A1493" s="3" t="str">
        <f t="shared" si="184"/>
        <v>98/11/26</v>
      </c>
      <c r="B1493" s="3" t="str">
        <f t="shared" si="185"/>
        <v>كالاهاي مصرفي</v>
      </c>
      <c r="C1493" s="3" t="str">
        <f t="shared" si="186"/>
        <v>انبار مصرفي ZU1</v>
      </c>
      <c r="D1493" s="3" t="str">
        <f>"0213000352"</f>
        <v>0213000352</v>
      </c>
      <c r="E1493" s="3" t="str">
        <f>"پيچ دو سر رزوه استنلس استيل M30"</f>
        <v>پيچ دو سر رزوه استنلس استيل M30</v>
      </c>
      <c r="F1493" s="3" t="str">
        <f>"متر"</f>
        <v>متر</v>
      </c>
      <c r="G1493" s="3">
        <v>9</v>
      </c>
      <c r="H1493" s="5">
        <v>13050000</v>
      </c>
    </row>
    <row r="1494" spans="1:8" ht="18.75" x14ac:dyDescent="0.2">
      <c r="A1494" s="3" t="str">
        <f t="shared" si="184"/>
        <v>98/11/26</v>
      </c>
      <c r="B1494" s="3" t="str">
        <f t="shared" si="185"/>
        <v>كالاهاي مصرفي</v>
      </c>
      <c r="C1494" s="3" t="str">
        <f t="shared" si="186"/>
        <v>انبار مصرفي ZU1</v>
      </c>
      <c r="D1494" s="3" t="str">
        <f>"0101000021"</f>
        <v>0101000021</v>
      </c>
      <c r="E1494" s="3" t="str">
        <f>"برس رنگ  3 اينچ"</f>
        <v>برس رنگ  3 اينچ</v>
      </c>
      <c r="F1494" s="3" t="str">
        <f>"عدد"</f>
        <v>عدد</v>
      </c>
      <c r="G1494" s="3">
        <v>77</v>
      </c>
      <c r="H1494" s="5">
        <v>13090000</v>
      </c>
    </row>
    <row r="1495" spans="1:8" ht="18.75" x14ac:dyDescent="0.2">
      <c r="A1495" s="3" t="str">
        <f t="shared" si="184"/>
        <v>98/11/26</v>
      </c>
      <c r="B1495" s="3" t="str">
        <f t="shared" si="185"/>
        <v>كالاهاي مصرفي</v>
      </c>
      <c r="C1495" s="3" t="str">
        <f t="shared" si="186"/>
        <v>انبار مصرفي ZU1</v>
      </c>
      <c r="D1495" s="3" t="str">
        <f>"0204000406"</f>
        <v>0204000406</v>
      </c>
      <c r="E1495" s="3" t="str">
        <f>"بيرينگ 2Z/C3-6214"</f>
        <v>بيرينگ 2Z/C3-6214</v>
      </c>
      <c r="F1495" s="3" t="str">
        <f>"عدد"</f>
        <v>عدد</v>
      </c>
      <c r="G1495" s="3">
        <v>12</v>
      </c>
      <c r="H1495" s="5">
        <v>13107692</v>
      </c>
    </row>
    <row r="1496" spans="1:8" ht="18.75" x14ac:dyDescent="0.2">
      <c r="A1496" s="3" t="str">
        <f t="shared" si="184"/>
        <v>98/11/26</v>
      </c>
      <c r="B1496" s="3" t="str">
        <f t="shared" si="185"/>
        <v>كالاهاي مصرفي</v>
      </c>
      <c r="C1496" s="3" t="str">
        <f t="shared" si="186"/>
        <v>انبار مصرفي ZU1</v>
      </c>
      <c r="D1496" s="3" t="str">
        <f>"0204001189"</f>
        <v>0204001189</v>
      </c>
      <c r="E1496" s="3" t="str">
        <f>"پکينگ آبندي (فشاري) تفلون گرافيت 14*14 ميليمتر"</f>
        <v>پکينگ آبندي (فشاري) تفلون گرافيت 14*14 ميليمتر</v>
      </c>
      <c r="F1496" s="3" t="str">
        <f>"قرقره"</f>
        <v>قرقره</v>
      </c>
      <c r="G1496" s="3">
        <v>1</v>
      </c>
      <c r="H1496" s="5">
        <v>13150000</v>
      </c>
    </row>
    <row r="1497" spans="1:8" ht="18.75" x14ac:dyDescent="0.2">
      <c r="A1497" s="3" t="str">
        <f t="shared" si="184"/>
        <v>98/11/26</v>
      </c>
      <c r="B1497" s="3" t="str">
        <f t="shared" si="185"/>
        <v>كالاهاي مصرفي</v>
      </c>
      <c r="C1497" s="3" t="str">
        <f>"انبار مركزي ( عمومي )"</f>
        <v>انبار مركزي ( عمومي )</v>
      </c>
      <c r="D1497" s="3" t="str">
        <f>"0213000717"</f>
        <v>0213000717</v>
      </c>
      <c r="E1497" s="3" t="str">
        <f>"خار باز كن"</f>
        <v>خار باز كن</v>
      </c>
      <c r="F1497" s="3" t="str">
        <f>"عدد"</f>
        <v>عدد</v>
      </c>
      <c r="G1497" s="3">
        <v>29</v>
      </c>
      <c r="H1497" s="5">
        <v>13152692</v>
      </c>
    </row>
    <row r="1498" spans="1:8" ht="18.75" x14ac:dyDescent="0.2">
      <c r="A1498" s="3" t="str">
        <f t="shared" si="184"/>
        <v>98/11/26</v>
      </c>
      <c r="B1498" s="3" t="str">
        <f t="shared" si="185"/>
        <v>كالاهاي مصرفي</v>
      </c>
      <c r="C1498" s="3" t="str">
        <f>"انبار مصرفي ZU1"</f>
        <v>انبار مصرفي ZU1</v>
      </c>
      <c r="D1498" s="3" t="str">
        <f>"0204001018"</f>
        <v>0204001018</v>
      </c>
      <c r="E1498" s="3" t="str">
        <f>"تسمه پروانه SPZ 1340"</f>
        <v>تسمه پروانه SPZ 1340</v>
      </c>
      <c r="F1498" s="3" t="str">
        <f>"حلقه"</f>
        <v>حلقه</v>
      </c>
      <c r="G1498" s="3">
        <v>8</v>
      </c>
      <c r="H1498" s="5">
        <v>13200000</v>
      </c>
    </row>
    <row r="1499" spans="1:8" ht="18.75" x14ac:dyDescent="0.2">
      <c r="A1499" s="3" t="str">
        <f t="shared" si="184"/>
        <v>98/11/26</v>
      </c>
      <c r="B1499" s="3" t="str">
        <f t="shared" si="185"/>
        <v>كالاهاي مصرفي</v>
      </c>
      <c r="C1499" s="3" t="str">
        <f>"انبار مصرفي ZU1"</f>
        <v>انبار مصرفي ZU1</v>
      </c>
      <c r="D1499" s="3" t="str">
        <f>"0204001793"</f>
        <v>0204001793</v>
      </c>
      <c r="E1499" s="3" t="str">
        <f>"چسب Birkosit مخصوص آب بندي توربين بخار"</f>
        <v>چسب Birkosit مخصوص آب بندي توربين بخار</v>
      </c>
      <c r="F1499" s="3" t="str">
        <f>"کيلوگرم"</f>
        <v>کيلوگرم</v>
      </c>
      <c r="G1499" s="3">
        <v>4</v>
      </c>
      <c r="H1499" s="5">
        <v>13200000</v>
      </c>
    </row>
    <row r="1500" spans="1:8" ht="18.75" x14ac:dyDescent="0.2">
      <c r="A1500" s="3" t="str">
        <f t="shared" si="184"/>
        <v>98/11/26</v>
      </c>
      <c r="B1500" s="3" t="str">
        <f t="shared" si="185"/>
        <v>كالاهاي مصرفي</v>
      </c>
      <c r="C1500" s="3" t="str">
        <f>"انبار مصرفي ZU1"</f>
        <v>انبار مصرفي ZU1</v>
      </c>
      <c r="D1500" s="3" t="str">
        <f>"0211001742"</f>
        <v>0211001742</v>
      </c>
      <c r="E1500" s="3" t="str">
        <f>"شيم پليت ضخامت 0/5 به ابعاد 125 *125"</f>
        <v>شيم پليت ضخامت 0/5 به ابعاد 125 *125</v>
      </c>
      <c r="F1500" s="3" t="str">
        <f>"عدد"</f>
        <v>عدد</v>
      </c>
      <c r="G1500" s="3">
        <v>42</v>
      </c>
      <c r="H1500" s="5">
        <v>13230000</v>
      </c>
    </row>
    <row r="1501" spans="1:8" ht="18.75" x14ac:dyDescent="0.2">
      <c r="A1501" s="3" t="str">
        <f t="shared" si="184"/>
        <v>98/11/26</v>
      </c>
      <c r="B1501" s="3" t="str">
        <f t="shared" si="185"/>
        <v>كالاهاي مصرفي</v>
      </c>
      <c r="C1501" s="3" t="str">
        <f>"انبار مصرفي ZU1"</f>
        <v>انبار مصرفي ZU1</v>
      </c>
      <c r="D1501" s="3" t="str">
        <f>"0204000376"</f>
        <v>0204000376</v>
      </c>
      <c r="E1501" s="3" t="str">
        <f>"بيرينگ 7315-BECBJ"</f>
        <v>بيرينگ 7315-BECBJ</v>
      </c>
      <c r="F1501" s="3" t="str">
        <f>"عدد"</f>
        <v>عدد</v>
      </c>
      <c r="G1501" s="3">
        <v>3</v>
      </c>
      <c r="H1501" s="5">
        <v>13240000</v>
      </c>
    </row>
    <row r="1502" spans="1:8" ht="18.75" x14ac:dyDescent="0.2">
      <c r="A1502" s="3" t="str">
        <f t="shared" si="184"/>
        <v>98/11/26</v>
      </c>
      <c r="B1502" s="3" t="str">
        <f t="shared" si="185"/>
        <v>كالاهاي مصرفي</v>
      </c>
      <c r="C1502" s="3" t="str">
        <f>"انبار مصرفي ZU1"</f>
        <v>انبار مصرفي ZU1</v>
      </c>
      <c r="D1502" s="3" t="str">
        <f>"0108000005"</f>
        <v>0108000005</v>
      </c>
      <c r="E1502" s="3" t="str">
        <f>"كلسيم هيپو كلريت"</f>
        <v>كلسيم هيپو كلريت</v>
      </c>
      <c r="F1502" s="3" t="str">
        <f>"کيلوگرم"</f>
        <v>کيلوگرم</v>
      </c>
      <c r="G1502" s="3">
        <v>225</v>
      </c>
      <c r="H1502" s="5">
        <v>13275000</v>
      </c>
    </row>
    <row r="1503" spans="1:8" ht="18.75" x14ac:dyDescent="0.2">
      <c r="A1503" s="3" t="str">
        <f t="shared" si="184"/>
        <v>98/11/26</v>
      </c>
      <c r="B1503" s="3" t="str">
        <f t="shared" si="185"/>
        <v>كالاهاي مصرفي</v>
      </c>
      <c r="C1503" s="3" t="str">
        <f>"انبار مركزي ( عمومي )"</f>
        <v>انبار مركزي ( عمومي )</v>
      </c>
      <c r="D1503" s="3" t="str">
        <f>"0107000001"</f>
        <v>0107000001</v>
      </c>
      <c r="E1503" s="3" t="str">
        <f>"پودر لباسشويي دستي 500 گرمي"</f>
        <v>پودر لباسشويي دستي 500 گرمي</v>
      </c>
      <c r="F1503" s="3" t="str">
        <f>"بسته"</f>
        <v>بسته</v>
      </c>
      <c r="G1503" s="3">
        <v>142</v>
      </c>
      <c r="H1503" s="5">
        <v>13286297</v>
      </c>
    </row>
    <row r="1504" spans="1:8" ht="18.75" x14ac:dyDescent="0.2">
      <c r="A1504" s="3" t="str">
        <f t="shared" si="184"/>
        <v>98/11/26</v>
      </c>
      <c r="B1504" s="3" t="str">
        <f t="shared" si="185"/>
        <v>كالاهاي مصرفي</v>
      </c>
      <c r="C1504" s="3" t="str">
        <f>"انبار مصرفي ZU1"</f>
        <v>انبار مصرفي ZU1</v>
      </c>
      <c r="D1504" s="3" t="str">
        <f>"0204000328"</f>
        <v>0204000328</v>
      </c>
      <c r="E1504" s="3" t="str">
        <f>"بيرينگ 22208EK"</f>
        <v>بيرينگ 22208EK</v>
      </c>
      <c r="F1504" s="3" t="str">
        <f>"عدد"</f>
        <v>عدد</v>
      </c>
      <c r="G1504" s="3">
        <v>12</v>
      </c>
      <c r="H1504" s="5">
        <v>13320000</v>
      </c>
    </row>
    <row r="1505" spans="1:8" ht="18.75" x14ac:dyDescent="0.2">
      <c r="A1505" s="3" t="str">
        <f t="shared" si="184"/>
        <v>98/11/26</v>
      </c>
      <c r="B1505" s="3" t="str">
        <f t="shared" si="185"/>
        <v>كالاهاي مصرفي</v>
      </c>
      <c r="C1505" s="3" t="str">
        <f>"انبار مركزي ( عمومي )"</f>
        <v>انبار مركزي ( عمومي )</v>
      </c>
      <c r="D1505" s="3" t="str">
        <f>"0211000268"</f>
        <v>0211000268</v>
      </c>
      <c r="E1505" s="3" t="str">
        <f>"باطري  6V.10Ah/20Hr"</f>
        <v>باطري  6V.10Ah/20Hr</v>
      </c>
      <c r="F1505" s="3" t="str">
        <f>"عدد"</f>
        <v>عدد</v>
      </c>
      <c r="G1505" s="3">
        <v>29</v>
      </c>
      <c r="H1505" s="5">
        <v>13340000</v>
      </c>
    </row>
    <row r="1506" spans="1:8" ht="18.75" x14ac:dyDescent="0.2">
      <c r="A1506" s="3" t="str">
        <f t="shared" si="184"/>
        <v>98/11/26</v>
      </c>
      <c r="B1506" s="3" t="str">
        <f t="shared" si="185"/>
        <v>كالاهاي مصرفي</v>
      </c>
      <c r="C1506" s="3" t="str">
        <f t="shared" ref="C1506:C1520" si="187">"انبار مصرفي ZU1"</f>
        <v>انبار مصرفي ZU1</v>
      </c>
      <c r="D1506" s="3" t="str">
        <f>"0204001265"</f>
        <v>0204001265</v>
      </c>
      <c r="E1506" s="3" t="str">
        <f>"بيرينگ BS2-2207-2CF"</f>
        <v>بيرينگ BS2-2207-2CF</v>
      </c>
      <c r="F1506" s="3" t="str">
        <f>"عدد"</f>
        <v>عدد</v>
      </c>
      <c r="G1506" s="3">
        <v>2</v>
      </c>
      <c r="H1506" s="5">
        <v>13400000</v>
      </c>
    </row>
    <row r="1507" spans="1:8" ht="18.75" x14ac:dyDescent="0.2">
      <c r="A1507" s="3" t="str">
        <f t="shared" si="184"/>
        <v>98/11/26</v>
      </c>
      <c r="B1507" s="3" t="str">
        <f t="shared" si="185"/>
        <v>كالاهاي مصرفي</v>
      </c>
      <c r="C1507" s="3" t="str">
        <f t="shared" si="187"/>
        <v>انبار مصرفي ZU1</v>
      </c>
      <c r="D1507" s="3" t="str">
        <f>"0204001545"</f>
        <v>0204001545</v>
      </c>
      <c r="E1507" s="3" t="str">
        <f>"اورينگ وايتون ضخامت 6 ميليمتر"</f>
        <v>اورينگ وايتون ضخامت 6 ميليمتر</v>
      </c>
      <c r="F1507" s="3" t="str">
        <f>"متر"</f>
        <v>متر</v>
      </c>
      <c r="G1507" s="3">
        <v>20</v>
      </c>
      <c r="H1507" s="5">
        <v>13400000</v>
      </c>
    </row>
    <row r="1508" spans="1:8" ht="18.75" x14ac:dyDescent="0.2">
      <c r="A1508" s="3" t="str">
        <f t="shared" si="184"/>
        <v>98/11/26</v>
      </c>
      <c r="B1508" s="3" t="str">
        <f t="shared" si="185"/>
        <v>كالاهاي مصرفي</v>
      </c>
      <c r="C1508" s="3" t="str">
        <f t="shared" si="187"/>
        <v>انبار مصرفي ZU1</v>
      </c>
      <c r="D1508" s="3" t="str">
        <f>"0202000404"</f>
        <v>0202000404</v>
      </c>
      <c r="E1508" s="3" t="str">
        <f>"چراغ سيار 12 ولت"</f>
        <v>چراغ سيار 12 ولت</v>
      </c>
      <c r="F1508" s="3" t="str">
        <f>"عدد"</f>
        <v>عدد</v>
      </c>
      <c r="G1508" s="3">
        <v>3</v>
      </c>
      <c r="H1508" s="5">
        <v>13500000</v>
      </c>
    </row>
    <row r="1509" spans="1:8" ht="18.75" x14ac:dyDescent="0.2">
      <c r="A1509" s="3" t="str">
        <f t="shared" si="184"/>
        <v>98/11/26</v>
      </c>
      <c r="B1509" s="3" t="str">
        <f t="shared" si="185"/>
        <v>كالاهاي مصرفي</v>
      </c>
      <c r="C1509" s="3" t="str">
        <f t="shared" si="187"/>
        <v>انبار مصرفي ZU1</v>
      </c>
      <c r="D1509" s="3" t="str">
        <f>"0204000841"</f>
        <v>0204000841</v>
      </c>
      <c r="E1509" s="3" t="str">
        <f>"پوسته بيرينگ SNL518"</f>
        <v>پوسته بيرينگ SNL518</v>
      </c>
      <c r="F1509" s="3" t="str">
        <f>"عدد"</f>
        <v>عدد</v>
      </c>
      <c r="G1509" s="3">
        <v>1</v>
      </c>
      <c r="H1509" s="5">
        <v>13500000</v>
      </c>
    </row>
    <row r="1510" spans="1:8" ht="18.75" x14ac:dyDescent="0.2">
      <c r="A1510" s="3" t="str">
        <f t="shared" si="184"/>
        <v>98/11/26</v>
      </c>
      <c r="B1510" s="3" t="str">
        <f t="shared" si="185"/>
        <v>كالاهاي مصرفي</v>
      </c>
      <c r="C1510" s="3" t="str">
        <f t="shared" si="187"/>
        <v>انبار مصرفي ZU1</v>
      </c>
      <c r="D1510" s="3" t="str">
        <f>"0204001839"</f>
        <v>0204001839</v>
      </c>
      <c r="E1510" s="3" t="str">
        <f>"واشر پريشمان ضخامت 3  ميليمتر"</f>
        <v>واشر پريشمان ضخامت 3  ميليمتر</v>
      </c>
      <c r="F1510" s="3" t="str">
        <f>"ورق"</f>
        <v>ورق</v>
      </c>
      <c r="G1510" s="3">
        <v>10</v>
      </c>
      <c r="H1510" s="5">
        <v>13500000</v>
      </c>
    </row>
    <row r="1511" spans="1:8" ht="18.75" x14ac:dyDescent="0.2">
      <c r="A1511" s="3" t="str">
        <f t="shared" si="184"/>
        <v>98/11/26</v>
      </c>
      <c r="B1511" s="3" t="str">
        <f t="shared" si="185"/>
        <v>كالاهاي مصرفي</v>
      </c>
      <c r="C1511" s="3" t="str">
        <f t="shared" si="187"/>
        <v>انبار مصرفي ZU1</v>
      </c>
      <c r="D1511" s="3" t="str">
        <f>"0204001960"</f>
        <v>0204001960</v>
      </c>
      <c r="E1511" s="3" t="str">
        <f>"بوش چدني با قطر داخلي 290 و قطر خارجي 310 و ارتفاع 86 ميليمتر"</f>
        <v>بوش چدني با قطر داخلي 290 و قطر خارجي 310 و ارتفاع 86 ميليمتر</v>
      </c>
      <c r="F1511" s="3" t="str">
        <f t="shared" ref="F1511:F1521" si="188">"عدد"</f>
        <v>عدد</v>
      </c>
      <c r="G1511" s="3">
        <v>3</v>
      </c>
      <c r="H1511" s="5">
        <v>13500000</v>
      </c>
    </row>
    <row r="1512" spans="1:8" ht="18.75" x14ac:dyDescent="0.2">
      <c r="A1512" s="3" t="str">
        <f t="shared" si="184"/>
        <v>98/11/26</v>
      </c>
      <c r="B1512" s="3" t="str">
        <f t="shared" si="185"/>
        <v>كالاهاي مصرفي</v>
      </c>
      <c r="C1512" s="3" t="str">
        <f t="shared" si="187"/>
        <v>انبار مصرفي ZU1</v>
      </c>
      <c r="D1512" s="3" t="str">
        <f>"0204001976"</f>
        <v>0204001976</v>
      </c>
      <c r="E1512" s="3" t="str">
        <f>"بوش چدني با قطر داخلي 110 و قطر خارجي 130 و ارتفاع 27 ميليمتر"</f>
        <v>بوش چدني با قطر داخلي 110 و قطر خارجي 130 و ارتفاع 27 ميليمتر</v>
      </c>
      <c r="F1512" s="3" t="str">
        <f t="shared" si="188"/>
        <v>عدد</v>
      </c>
      <c r="G1512" s="3">
        <v>5</v>
      </c>
      <c r="H1512" s="5">
        <v>13500000</v>
      </c>
    </row>
    <row r="1513" spans="1:8" ht="18.75" x14ac:dyDescent="0.2">
      <c r="A1513" s="3" t="str">
        <f t="shared" si="184"/>
        <v>98/11/26</v>
      </c>
      <c r="B1513" s="3" t="str">
        <f t="shared" si="185"/>
        <v>كالاهاي مصرفي</v>
      </c>
      <c r="C1513" s="3" t="str">
        <f t="shared" si="187"/>
        <v>انبار مصرفي ZU1</v>
      </c>
      <c r="D1513" s="3" t="str">
        <f>"0204001310"</f>
        <v>0204001310</v>
      </c>
      <c r="E1513" s="3" t="str">
        <f>"اورينگ HNBR 48*3.6"</f>
        <v>اورينگ HNBR 48*3.6</v>
      </c>
      <c r="F1513" s="3" t="str">
        <f t="shared" si="188"/>
        <v>عدد</v>
      </c>
      <c r="G1513" s="3">
        <v>20</v>
      </c>
      <c r="H1513" s="5">
        <v>13520000</v>
      </c>
    </row>
    <row r="1514" spans="1:8" ht="18.75" x14ac:dyDescent="0.2">
      <c r="A1514" s="3" t="str">
        <f t="shared" si="184"/>
        <v>98/11/26</v>
      </c>
      <c r="B1514" s="3" t="str">
        <f t="shared" si="185"/>
        <v>كالاهاي مصرفي</v>
      </c>
      <c r="C1514" s="3" t="str">
        <f t="shared" si="187"/>
        <v>انبار مصرفي ZU1</v>
      </c>
      <c r="D1514" s="3" t="str">
        <f>"0204001370"</f>
        <v>0204001370</v>
      </c>
      <c r="E1514" s="3" t="str">
        <f>"اورينگ HNBR 312*4.5"</f>
        <v>اورينگ HNBR 312*4.5</v>
      </c>
      <c r="F1514" s="3" t="str">
        <f t="shared" si="188"/>
        <v>عدد</v>
      </c>
      <c r="G1514" s="3">
        <v>20</v>
      </c>
      <c r="H1514" s="5">
        <v>13520000</v>
      </c>
    </row>
    <row r="1515" spans="1:8" ht="18.75" x14ac:dyDescent="0.2">
      <c r="A1515" s="3" t="str">
        <f t="shared" si="184"/>
        <v>98/11/26</v>
      </c>
      <c r="B1515" s="3" t="str">
        <f t="shared" si="185"/>
        <v>كالاهاي مصرفي</v>
      </c>
      <c r="C1515" s="3" t="str">
        <f t="shared" si="187"/>
        <v>انبار مصرفي ZU1</v>
      </c>
      <c r="D1515" s="3" t="str">
        <f>"0203000300"</f>
        <v>0203000300</v>
      </c>
      <c r="E1515" s="3" t="str">
        <f>"كاتد فداشونده كوچك تيپ 2"</f>
        <v>كاتد فداشونده كوچك تيپ 2</v>
      </c>
      <c r="F1515" s="3" t="str">
        <f t="shared" si="188"/>
        <v>عدد</v>
      </c>
      <c r="G1515" s="3">
        <v>8</v>
      </c>
      <c r="H1515" s="5">
        <v>13600000</v>
      </c>
    </row>
    <row r="1516" spans="1:8" ht="18.75" x14ac:dyDescent="0.2">
      <c r="A1516" s="3" t="str">
        <f t="shared" si="184"/>
        <v>98/11/26</v>
      </c>
      <c r="B1516" s="3" t="str">
        <f t="shared" si="185"/>
        <v>كالاهاي مصرفي</v>
      </c>
      <c r="C1516" s="3" t="str">
        <f t="shared" si="187"/>
        <v>انبار مصرفي ZU1</v>
      </c>
      <c r="D1516" s="3" t="str">
        <f>"0204002341"</f>
        <v>0204002341</v>
      </c>
      <c r="E1516" s="3" t="str">
        <f>"اورينگ 291.69*3.53 Viton"</f>
        <v>اورينگ 291.69*3.53 Viton</v>
      </c>
      <c r="F1516" s="3" t="str">
        <f t="shared" si="188"/>
        <v>عدد</v>
      </c>
      <c r="G1516" s="3">
        <v>7</v>
      </c>
      <c r="H1516" s="5">
        <v>13728000</v>
      </c>
    </row>
    <row r="1517" spans="1:8" ht="18.75" x14ac:dyDescent="0.2">
      <c r="A1517" s="3" t="str">
        <f t="shared" si="184"/>
        <v>98/11/26</v>
      </c>
      <c r="B1517" s="3" t="str">
        <f t="shared" si="185"/>
        <v>كالاهاي مصرفي</v>
      </c>
      <c r="C1517" s="3" t="str">
        <f t="shared" si="187"/>
        <v>انبار مصرفي ZU1</v>
      </c>
      <c r="D1517" s="3" t="str">
        <f>"0204001008"</f>
        <v>0204001008</v>
      </c>
      <c r="E1517" s="3" t="str">
        <f>"خار چشمي DIN472 M100 داخلي"</f>
        <v>خار چشمي DIN472 M100 داخلي</v>
      </c>
      <c r="F1517" s="3" t="str">
        <f t="shared" si="188"/>
        <v>عدد</v>
      </c>
      <c r="G1517" s="3">
        <v>130</v>
      </c>
      <c r="H1517" s="5">
        <v>13753500</v>
      </c>
    </row>
    <row r="1518" spans="1:8" ht="18.75" x14ac:dyDescent="0.2">
      <c r="A1518" s="3" t="str">
        <f t="shared" si="184"/>
        <v>98/11/26</v>
      </c>
      <c r="B1518" s="3" t="str">
        <f t="shared" si="185"/>
        <v>كالاهاي مصرفي</v>
      </c>
      <c r="C1518" s="3" t="str">
        <f t="shared" si="187"/>
        <v>انبار مصرفي ZU1</v>
      </c>
      <c r="D1518" s="3" t="str">
        <f>"0211001729"</f>
        <v>0211001729</v>
      </c>
      <c r="E1518" s="3" t="str">
        <f>"شيم پليت ضخامت 0/25 به ابعاد 75 *75"</f>
        <v>شيم پليت ضخامت 0/25 به ابعاد 75 *75</v>
      </c>
      <c r="F1518" s="3" t="str">
        <f t="shared" si="188"/>
        <v>عدد</v>
      </c>
      <c r="G1518" s="3">
        <v>70</v>
      </c>
      <c r="H1518" s="5">
        <v>13790000</v>
      </c>
    </row>
    <row r="1519" spans="1:8" ht="18.75" x14ac:dyDescent="0.2">
      <c r="A1519" s="3" t="str">
        <f t="shared" si="184"/>
        <v>98/11/26</v>
      </c>
      <c r="B1519" s="3" t="str">
        <f t="shared" si="185"/>
        <v>كالاهاي مصرفي</v>
      </c>
      <c r="C1519" s="3" t="str">
        <f t="shared" si="187"/>
        <v>انبار مصرفي ZU1</v>
      </c>
      <c r="D1519" s="3" t="str">
        <f>"0204000696"</f>
        <v>0204000696</v>
      </c>
      <c r="E1519" s="3" t="str">
        <f>"واشر آببند شير كيد 220mm"</f>
        <v>واشر آببند شير كيد 220mm</v>
      </c>
      <c r="F1519" s="3" t="str">
        <f t="shared" si="188"/>
        <v>عدد</v>
      </c>
      <c r="G1519" s="3">
        <v>69</v>
      </c>
      <c r="H1519" s="5">
        <v>13800000</v>
      </c>
    </row>
    <row r="1520" spans="1:8" ht="18.75" x14ac:dyDescent="0.2">
      <c r="A1520" s="3" t="str">
        <f t="shared" si="184"/>
        <v>98/11/26</v>
      </c>
      <c r="B1520" s="3" t="str">
        <f t="shared" si="185"/>
        <v>كالاهاي مصرفي</v>
      </c>
      <c r="C1520" s="3" t="str">
        <f t="shared" si="187"/>
        <v>انبار مصرفي ZU1</v>
      </c>
      <c r="D1520" s="3" t="str">
        <f>"0303000360"</f>
        <v>0303000360</v>
      </c>
      <c r="E1520" s="3" t="str">
        <f>"مانومتر0تا400  کيلو پاسکال  دقت 1.2"</f>
        <v>مانومتر0تا400  کيلو پاسکال  دقت 1.2</v>
      </c>
      <c r="F1520" s="3" t="str">
        <f t="shared" si="188"/>
        <v>عدد</v>
      </c>
      <c r="G1520" s="3">
        <v>2</v>
      </c>
      <c r="H1520" s="5">
        <v>13800000</v>
      </c>
    </row>
    <row r="1521" spans="1:8" ht="18.75" x14ac:dyDescent="0.2">
      <c r="A1521" s="3" t="str">
        <f t="shared" si="184"/>
        <v>98/11/26</v>
      </c>
      <c r="B1521" s="3" t="str">
        <f t="shared" si="185"/>
        <v>كالاهاي مصرفي</v>
      </c>
      <c r="C1521" s="3" t="str">
        <f>"انبار مركزي ( عمومي )"</f>
        <v>انبار مركزي ( عمومي )</v>
      </c>
      <c r="D1521" s="3" t="str">
        <f>"0213000740"</f>
        <v>0213000740</v>
      </c>
      <c r="E1521" s="3" t="str">
        <f>"مته آهن نمره 10"</f>
        <v>مته آهن نمره 10</v>
      </c>
      <c r="F1521" s="3" t="str">
        <f t="shared" si="188"/>
        <v>عدد</v>
      </c>
      <c r="G1521" s="3">
        <v>79</v>
      </c>
      <c r="H1521" s="5">
        <v>13818398</v>
      </c>
    </row>
    <row r="1522" spans="1:8" ht="18.75" x14ac:dyDescent="0.2">
      <c r="A1522" s="3" t="str">
        <f t="shared" si="184"/>
        <v>98/11/26</v>
      </c>
      <c r="B1522" s="3" t="str">
        <f t="shared" si="185"/>
        <v>كالاهاي مصرفي</v>
      </c>
      <c r="C1522" s="3" t="str">
        <f t="shared" ref="C1522:C1528" si="189">"انبار مصرفي ZU1"</f>
        <v>انبار مصرفي ZU1</v>
      </c>
      <c r="D1522" s="3" t="str">
        <f>"0204001746"</f>
        <v>0204001746</v>
      </c>
      <c r="E1522" s="3" t="str">
        <f>"گسكت(واشرابندي) مسلح گرافيتي - ضخامت 0/5 ميليمتر"</f>
        <v>گسكت(واشرابندي) مسلح گرافيتي - ضخامت 0/5 ميليمتر</v>
      </c>
      <c r="F1522" s="3" t="str">
        <f>"متر مربع"</f>
        <v>متر مربع</v>
      </c>
      <c r="G1522" s="3">
        <v>20.25</v>
      </c>
      <c r="H1522" s="5">
        <v>13871250</v>
      </c>
    </row>
    <row r="1523" spans="1:8" ht="18.75" x14ac:dyDescent="0.2">
      <c r="A1523" s="3" t="str">
        <f t="shared" si="184"/>
        <v>98/11/26</v>
      </c>
      <c r="B1523" s="3" t="str">
        <f t="shared" si="185"/>
        <v>كالاهاي مصرفي</v>
      </c>
      <c r="C1523" s="3" t="str">
        <f t="shared" si="189"/>
        <v>انبار مصرفي ZU1</v>
      </c>
      <c r="D1523" s="3" t="str">
        <f>"0204001304"</f>
        <v>0204001304</v>
      </c>
      <c r="E1523" s="3" t="str">
        <f>"اورينگ HNBR 380*5.8"</f>
        <v>اورينگ HNBR 380*5.8</v>
      </c>
      <c r="F1523" s="3" t="str">
        <f>"عدد"</f>
        <v>عدد</v>
      </c>
      <c r="G1523" s="3">
        <v>20</v>
      </c>
      <c r="H1523" s="5">
        <v>13900000</v>
      </c>
    </row>
    <row r="1524" spans="1:8" ht="18.75" x14ac:dyDescent="0.2">
      <c r="A1524" s="3" t="str">
        <f t="shared" si="184"/>
        <v>98/11/26</v>
      </c>
      <c r="B1524" s="3" t="str">
        <f t="shared" si="185"/>
        <v>كالاهاي مصرفي</v>
      </c>
      <c r="C1524" s="3" t="str">
        <f t="shared" si="189"/>
        <v>انبار مصرفي ZU1</v>
      </c>
      <c r="D1524" s="3" t="str">
        <f>"0204001346"</f>
        <v>0204001346</v>
      </c>
      <c r="E1524" s="3" t="str">
        <f>"اورينگ HNBR 690*6.0"</f>
        <v>اورينگ HNBR 690*6.0</v>
      </c>
      <c r="F1524" s="3" t="str">
        <f>"عدد"</f>
        <v>عدد</v>
      </c>
      <c r="G1524" s="3">
        <v>10</v>
      </c>
      <c r="H1524" s="5">
        <v>13990000</v>
      </c>
    </row>
    <row r="1525" spans="1:8" ht="18.75" x14ac:dyDescent="0.2">
      <c r="A1525" s="3" t="str">
        <f t="shared" si="184"/>
        <v>98/11/26</v>
      </c>
      <c r="B1525" s="3" t="str">
        <f t="shared" si="185"/>
        <v>كالاهاي مصرفي</v>
      </c>
      <c r="C1525" s="3" t="str">
        <f t="shared" si="189"/>
        <v>انبار مصرفي ZU1</v>
      </c>
      <c r="D1525" s="3" t="str">
        <f>"0204001162"</f>
        <v>0204001162</v>
      </c>
      <c r="E1525" s="3" t="str">
        <f>"پکينگ آببندي (فشاري) گرافيتي آزبستي20*20  ميليمتر"</f>
        <v>پکينگ آببندي (فشاري) گرافيتي آزبستي20*20  ميليمتر</v>
      </c>
      <c r="F1525" s="3" t="str">
        <f>"قرقره"</f>
        <v>قرقره</v>
      </c>
      <c r="G1525" s="3">
        <v>2</v>
      </c>
      <c r="H1525" s="5">
        <v>14000000</v>
      </c>
    </row>
    <row r="1526" spans="1:8" ht="18.75" x14ac:dyDescent="0.2">
      <c r="A1526" s="3" t="str">
        <f t="shared" si="184"/>
        <v>98/11/26</v>
      </c>
      <c r="B1526" s="3" t="str">
        <f t="shared" si="185"/>
        <v>كالاهاي مصرفي</v>
      </c>
      <c r="C1526" s="3" t="str">
        <f t="shared" si="189"/>
        <v>انبار مصرفي ZU1</v>
      </c>
      <c r="D1526" s="3" t="str">
        <f>"0106000084"</f>
        <v>0106000084</v>
      </c>
      <c r="E1526" s="3" t="str">
        <f>"روغن سمباده ( گرين )"</f>
        <v>روغن سمباده ( گرين )</v>
      </c>
      <c r="F1526" s="3" t="str">
        <f>"قوطي"</f>
        <v>قوطي</v>
      </c>
      <c r="G1526" s="3">
        <v>271</v>
      </c>
      <c r="H1526" s="5">
        <v>14018687</v>
      </c>
    </row>
    <row r="1527" spans="1:8" ht="18.75" x14ac:dyDescent="0.2">
      <c r="A1527" s="3" t="str">
        <f t="shared" si="184"/>
        <v>98/11/26</v>
      </c>
      <c r="B1527" s="3" t="str">
        <f t="shared" si="185"/>
        <v>كالاهاي مصرفي</v>
      </c>
      <c r="C1527" s="3" t="str">
        <f t="shared" si="189"/>
        <v>انبار مصرفي ZU1</v>
      </c>
      <c r="D1527" s="3" t="str">
        <f>"0213000884"</f>
        <v>0213000884</v>
      </c>
      <c r="E1527" s="3" t="str">
        <f>"پوساب برچسب دار P1200"</f>
        <v>پوساب برچسب دار P1200</v>
      </c>
      <c r="F1527" s="3" t="str">
        <f>"برگ"</f>
        <v>برگ</v>
      </c>
      <c r="G1527" s="3">
        <v>202</v>
      </c>
      <c r="H1527" s="5">
        <v>14065632</v>
      </c>
    </row>
    <row r="1528" spans="1:8" ht="18.75" x14ac:dyDescent="0.2">
      <c r="A1528" s="3" t="str">
        <f t="shared" si="184"/>
        <v>98/11/26</v>
      </c>
      <c r="B1528" s="3" t="str">
        <f t="shared" si="185"/>
        <v>كالاهاي مصرفي</v>
      </c>
      <c r="C1528" s="3" t="str">
        <f t="shared" si="189"/>
        <v>انبار مصرفي ZU1</v>
      </c>
      <c r="D1528" s="3" t="str">
        <f>"0213000142"</f>
        <v>0213000142</v>
      </c>
      <c r="E1528" s="3" t="str">
        <f>"پيچ M18*40"</f>
        <v>پيچ M18*40</v>
      </c>
      <c r="F1528" s="3" t="str">
        <f>"عدد"</f>
        <v>عدد</v>
      </c>
      <c r="G1528" s="3">
        <v>469</v>
      </c>
      <c r="H1528" s="5">
        <v>14070000</v>
      </c>
    </row>
    <row r="1529" spans="1:8" ht="18.75" x14ac:dyDescent="0.2">
      <c r="A1529" s="3" t="str">
        <f t="shared" si="184"/>
        <v>98/11/26</v>
      </c>
      <c r="B1529" s="3" t="str">
        <f t="shared" si="185"/>
        <v>كالاهاي مصرفي</v>
      </c>
      <c r="C1529" s="3" t="str">
        <f>"انبار مركزي ( عمومي )"</f>
        <v>انبار مركزي ( عمومي )</v>
      </c>
      <c r="D1529" s="3" t="str">
        <f>"0203000148"</f>
        <v>0203000148</v>
      </c>
      <c r="E1529" s="3" t="str">
        <f>"پيچ گوشتي چهار سو"</f>
        <v>پيچ گوشتي چهار سو</v>
      </c>
      <c r="F1529" s="3" t="str">
        <f>"عدد"</f>
        <v>عدد</v>
      </c>
      <c r="G1529" s="3">
        <v>84</v>
      </c>
      <c r="H1529" s="5">
        <v>14227383</v>
      </c>
    </row>
    <row r="1530" spans="1:8" ht="18.75" x14ac:dyDescent="0.2">
      <c r="A1530" s="3" t="str">
        <f t="shared" si="184"/>
        <v>98/11/26</v>
      </c>
      <c r="B1530" s="3" t="str">
        <f t="shared" si="185"/>
        <v>كالاهاي مصرفي</v>
      </c>
      <c r="C1530" s="3" t="str">
        <f t="shared" ref="C1530:C1537" si="190">"انبار مصرفي ZU1"</f>
        <v>انبار مصرفي ZU1</v>
      </c>
      <c r="D1530" s="3" t="str">
        <f>"0204001794"</f>
        <v>0204001794</v>
      </c>
      <c r="E1530" s="3" t="str">
        <f>"تسمه آب بندي لاستيکي NSP-RO-EP240"</f>
        <v>تسمه آب بندي لاستيکي NSP-RO-EP240</v>
      </c>
      <c r="F1530" s="3" t="str">
        <f>"متر"</f>
        <v>متر</v>
      </c>
      <c r="G1530" s="3">
        <v>50</v>
      </c>
      <c r="H1530" s="5">
        <v>14250000</v>
      </c>
    </row>
    <row r="1531" spans="1:8" ht="18.75" x14ac:dyDescent="0.2">
      <c r="A1531" s="3" t="str">
        <f t="shared" si="184"/>
        <v>98/11/26</v>
      </c>
      <c r="B1531" s="3" t="str">
        <f t="shared" si="185"/>
        <v>كالاهاي مصرفي</v>
      </c>
      <c r="C1531" s="3" t="str">
        <f t="shared" si="190"/>
        <v>انبار مصرفي ZU1</v>
      </c>
      <c r="D1531" s="3" t="str">
        <f>"0204001197"</f>
        <v>0204001197</v>
      </c>
      <c r="E1531" s="3" t="str">
        <f>"بيرينگ 6315"</f>
        <v>بيرينگ 6315</v>
      </c>
      <c r="F1531" s="3" t="str">
        <f>"عدد"</f>
        <v>عدد</v>
      </c>
      <c r="G1531" s="3">
        <v>4</v>
      </c>
      <c r="H1531" s="5">
        <v>14257778</v>
      </c>
    </row>
    <row r="1532" spans="1:8" ht="18.75" x14ac:dyDescent="0.2">
      <c r="A1532" s="3" t="str">
        <f t="shared" si="184"/>
        <v>98/11/26</v>
      </c>
      <c r="B1532" s="3" t="str">
        <f t="shared" si="185"/>
        <v>كالاهاي مصرفي</v>
      </c>
      <c r="C1532" s="3" t="str">
        <f t="shared" si="190"/>
        <v>انبار مصرفي ZU1</v>
      </c>
      <c r="D1532" s="3" t="str">
        <f>"0106000207"</f>
        <v>0106000207</v>
      </c>
      <c r="E1532" s="3" t="str">
        <f>"روغن  shell spirax  EP140"</f>
        <v>روغن  shell spirax  EP140</v>
      </c>
      <c r="F1532" s="3" t="str">
        <f>"ليتر"</f>
        <v>ليتر</v>
      </c>
      <c r="G1532" s="3">
        <v>96</v>
      </c>
      <c r="H1532" s="5">
        <v>14400000</v>
      </c>
    </row>
    <row r="1533" spans="1:8" ht="18.75" x14ac:dyDescent="0.2">
      <c r="A1533" s="3" t="str">
        <f t="shared" si="184"/>
        <v>98/11/26</v>
      </c>
      <c r="B1533" s="3" t="str">
        <f t="shared" si="185"/>
        <v>كالاهاي مصرفي</v>
      </c>
      <c r="C1533" s="3" t="str">
        <f t="shared" si="190"/>
        <v>انبار مصرفي ZU1</v>
      </c>
      <c r="D1533" s="3" t="str">
        <f>"0204001915"</f>
        <v>0204001915</v>
      </c>
      <c r="E1533" s="3" t="str">
        <f>"Spring (40) VS"</f>
        <v>Spring (40) VS</v>
      </c>
      <c r="F1533" s="3" t="str">
        <f t="shared" ref="F1533:F1538" si="191">"عدد"</f>
        <v>عدد</v>
      </c>
      <c r="G1533" s="3">
        <v>24</v>
      </c>
      <c r="H1533" s="5">
        <v>14400000</v>
      </c>
    </row>
    <row r="1534" spans="1:8" ht="18.75" x14ac:dyDescent="0.2">
      <c r="A1534" s="3" t="str">
        <f t="shared" si="184"/>
        <v>98/11/26</v>
      </c>
      <c r="B1534" s="3" t="str">
        <f t="shared" si="185"/>
        <v>كالاهاي مصرفي</v>
      </c>
      <c r="C1534" s="3" t="str">
        <f t="shared" si="190"/>
        <v>انبار مصرفي ZU1</v>
      </c>
      <c r="D1534" s="3" t="str">
        <f>"0204002345"</f>
        <v>0204002345</v>
      </c>
      <c r="E1534" s="3" t="str">
        <f>"بيرينگ كف گرد 51116"</f>
        <v>بيرينگ كف گرد 51116</v>
      </c>
      <c r="F1534" s="3" t="str">
        <f t="shared" si="191"/>
        <v>عدد</v>
      </c>
      <c r="G1534" s="3">
        <v>6</v>
      </c>
      <c r="H1534" s="5">
        <v>14400000</v>
      </c>
    </row>
    <row r="1535" spans="1:8" ht="18.75" x14ac:dyDescent="0.2">
      <c r="A1535" s="3" t="str">
        <f t="shared" si="184"/>
        <v>98/11/26</v>
      </c>
      <c r="B1535" s="3" t="str">
        <f t="shared" si="185"/>
        <v>كالاهاي مصرفي</v>
      </c>
      <c r="C1535" s="3" t="str">
        <f t="shared" si="190"/>
        <v>انبار مصرفي ZU1</v>
      </c>
      <c r="D1535" s="3" t="str">
        <f>"0207000081"</f>
        <v>0207000081</v>
      </c>
      <c r="E1535" s="3" t="str">
        <f>"شيلنگ انعطاف پذيرفلزي DN=80mm L=1100mm"</f>
        <v>شيلنگ انعطاف پذيرفلزي DN=80mm L=1100mm</v>
      </c>
      <c r="F1535" s="3" t="str">
        <f t="shared" si="191"/>
        <v>عدد</v>
      </c>
      <c r="G1535" s="3">
        <v>3</v>
      </c>
      <c r="H1535" s="5">
        <v>14400000</v>
      </c>
    </row>
    <row r="1536" spans="1:8" ht="18.75" x14ac:dyDescent="0.2">
      <c r="A1536" s="3" t="str">
        <f t="shared" si="184"/>
        <v>98/11/26</v>
      </c>
      <c r="B1536" s="3" t="str">
        <f t="shared" si="185"/>
        <v>كالاهاي مصرفي</v>
      </c>
      <c r="C1536" s="3" t="str">
        <f t="shared" si="190"/>
        <v>انبار مصرفي ZU1</v>
      </c>
      <c r="D1536" s="3" t="str">
        <f>"0213000950"</f>
        <v>0213000950</v>
      </c>
      <c r="E1536" s="3" t="str">
        <f>"واشر برنجي M12"</f>
        <v>واشر برنجي M12</v>
      </c>
      <c r="F1536" s="3" t="str">
        <f t="shared" si="191"/>
        <v>عدد</v>
      </c>
      <c r="G1536" s="3">
        <v>160</v>
      </c>
      <c r="H1536" s="5">
        <v>14400000</v>
      </c>
    </row>
    <row r="1537" spans="1:8" ht="18.75" x14ac:dyDescent="0.2">
      <c r="A1537" s="3" t="str">
        <f t="shared" si="184"/>
        <v>98/11/26</v>
      </c>
      <c r="B1537" s="3" t="str">
        <f t="shared" si="185"/>
        <v>كالاهاي مصرفي</v>
      </c>
      <c r="C1537" s="3" t="str">
        <f t="shared" si="190"/>
        <v>انبار مصرفي ZU1</v>
      </c>
      <c r="D1537" s="3" t="str">
        <f>"0213001134"</f>
        <v>0213001134</v>
      </c>
      <c r="E1537" s="3" t="str">
        <f>"پيچ فولاد كربن استيل 100*M20"</f>
        <v>پيچ فولاد كربن استيل 100*M20</v>
      </c>
      <c r="F1537" s="3" t="str">
        <f t="shared" si="191"/>
        <v>عدد</v>
      </c>
      <c r="G1537" s="3">
        <v>12</v>
      </c>
      <c r="H1537" s="5">
        <v>14400000</v>
      </c>
    </row>
    <row r="1538" spans="1:8" ht="18.75" x14ac:dyDescent="0.2">
      <c r="A1538" s="3" t="str">
        <f t="shared" ref="A1538:A1601" si="192">"98/11/26"</f>
        <v>98/11/26</v>
      </c>
      <c r="B1538" s="3" t="str">
        <f t="shared" ref="B1538:B1601" si="193">"كالاهاي مصرفي"</f>
        <v>كالاهاي مصرفي</v>
      </c>
      <c r="C1538" s="3" t="str">
        <f>"انبار مركزي ( عمومي )"</f>
        <v>انبار مركزي ( عمومي )</v>
      </c>
      <c r="D1538" s="3" t="str">
        <f>"0903000082"</f>
        <v>0903000082</v>
      </c>
      <c r="E1538" s="3" t="str">
        <f>"Patch Cord Optic Fiber Multi Mode LC-SC"</f>
        <v>Patch Cord Optic Fiber Multi Mode LC-SC</v>
      </c>
      <c r="F1538" s="3" t="str">
        <f t="shared" si="191"/>
        <v>عدد</v>
      </c>
      <c r="G1538" s="3">
        <v>24</v>
      </c>
      <c r="H1538" s="5">
        <v>14400000</v>
      </c>
    </row>
    <row r="1539" spans="1:8" ht="18.75" x14ac:dyDescent="0.2">
      <c r="A1539" s="3" t="str">
        <f t="shared" si="192"/>
        <v>98/11/26</v>
      </c>
      <c r="B1539" s="3" t="str">
        <f t="shared" si="193"/>
        <v>كالاهاي مصرفي</v>
      </c>
      <c r="C1539" s="3" t="str">
        <f>"انبار مصرفي ZU1"</f>
        <v>انبار مصرفي ZU1</v>
      </c>
      <c r="D1539" s="3" t="str">
        <f>"0212000019"</f>
        <v>0212000019</v>
      </c>
      <c r="E1539" s="3" t="str">
        <f>"ورق تكستوليت 5mm/."</f>
        <v>ورق تكستوليت 5mm/.</v>
      </c>
      <c r="F1539" s="3" t="str">
        <f>"کيلوگرم"</f>
        <v>کيلوگرم</v>
      </c>
      <c r="G1539" s="3">
        <v>34</v>
      </c>
      <c r="H1539" s="5">
        <v>14450000</v>
      </c>
    </row>
    <row r="1540" spans="1:8" ht="18.75" x14ac:dyDescent="0.2">
      <c r="A1540" s="3" t="str">
        <f t="shared" si="192"/>
        <v>98/11/26</v>
      </c>
      <c r="B1540" s="3" t="str">
        <f t="shared" si="193"/>
        <v>كالاهاي مصرفي</v>
      </c>
      <c r="C1540" s="3" t="str">
        <f>"انبار مصرفي ZU1"</f>
        <v>انبار مصرفي ZU1</v>
      </c>
      <c r="D1540" s="3" t="str">
        <f>"0213000881"</f>
        <v>0213000881</v>
      </c>
      <c r="E1540" s="3" t="str">
        <f>"پوساب برچسب دار P100"</f>
        <v>پوساب برچسب دار P100</v>
      </c>
      <c r="F1540" s="3" t="str">
        <f>"برگ"</f>
        <v>برگ</v>
      </c>
      <c r="G1540" s="3">
        <v>170</v>
      </c>
      <c r="H1540" s="5">
        <v>14450000</v>
      </c>
    </row>
    <row r="1541" spans="1:8" ht="18.75" x14ac:dyDescent="0.2">
      <c r="A1541" s="3" t="str">
        <f t="shared" si="192"/>
        <v>98/11/26</v>
      </c>
      <c r="B1541" s="3" t="str">
        <f t="shared" si="193"/>
        <v>كالاهاي مصرفي</v>
      </c>
      <c r="C1541" s="3" t="str">
        <f>"انبار مصرفي ZU1"</f>
        <v>انبار مصرفي ZU1</v>
      </c>
      <c r="D1541" s="3" t="str">
        <f>"0602000059"</f>
        <v>0602000059</v>
      </c>
      <c r="E1541" s="3" t="str">
        <f>"انكر بولت M10-HSL-3/-G"</f>
        <v>انكر بولت M10-HSL-3/-G</v>
      </c>
      <c r="F1541" s="3" t="str">
        <f>"عدد"</f>
        <v>عدد</v>
      </c>
      <c r="G1541" s="3">
        <v>44</v>
      </c>
      <c r="H1541" s="5">
        <v>14520000</v>
      </c>
    </row>
    <row r="1542" spans="1:8" ht="18.75" x14ac:dyDescent="0.2">
      <c r="A1542" s="3" t="str">
        <f t="shared" si="192"/>
        <v>98/11/26</v>
      </c>
      <c r="B1542" s="3" t="str">
        <f t="shared" si="193"/>
        <v>كالاهاي مصرفي</v>
      </c>
      <c r="C1542" s="3" t="str">
        <f>"انبار مركزي ( عمومي )"</f>
        <v>انبار مركزي ( عمومي )</v>
      </c>
      <c r="D1542" s="3" t="str">
        <f>"0213000852"</f>
        <v>0213000852</v>
      </c>
      <c r="E1542" s="3" t="str">
        <f>"سمباده انگشتي P320 -40*30*6mm"</f>
        <v>سمباده انگشتي P320 -40*30*6mm</v>
      </c>
      <c r="F1542" s="3" t="str">
        <f>"عدد"</f>
        <v>عدد</v>
      </c>
      <c r="G1542" s="3">
        <v>237</v>
      </c>
      <c r="H1542" s="5">
        <v>14553333</v>
      </c>
    </row>
    <row r="1543" spans="1:8" ht="18.75" x14ac:dyDescent="0.2">
      <c r="A1543" s="3" t="str">
        <f t="shared" si="192"/>
        <v>98/11/26</v>
      </c>
      <c r="B1543" s="3" t="str">
        <f t="shared" si="193"/>
        <v>كالاهاي مصرفي</v>
      </c>
      <c r="C1543" s="3" t="str">
        <f>"انبار مصرفي ZU1"</f>
        <v>انبار مصرفي ZU1</v>
      </c>
      <c r="D1543" s="3" t="str">
        <f>"0303000073"</f>
        <v>0303000073</v>
      </c>
      <c r="E1543" s="3" t="str">
        <f>"سنسور"</f>
        <v>سنسور</v>
      </c>
      <c r="F1543" s="3" t="str">
        <f>"عدد"</f>
        <v>عدد</v>
      </c>
      <c r="G1543" s="3">
        <v>9</v>
      </c>
      <c r="H1543" s="5">
        <v>14693282</v>
      </c>
    </row>
    <row r="1544" spans="1:8" ht="18.75" x14ac:dyDescent="0.2">
      <c r="A1544" s="3" t="str">
        <f t="shared" si="192"/>
        <v>98/11/26</v>
      </c>
      <c r="B1544" s="3" t="str">
        <f t="shared" si="193"/>
        <v>كالاهاي مصرفي</v>
      </c>
      <c r="C1544" s="3" t="str">
        <f>"انبار مصرفي ZU1"</f>
        <v>انبار مصرفي ZU1</v>
      </c>
      <c r="D1544" s="3" t="str">
        <f>"0204001922"</f>
        <v>0204001922</v>
      </c>
      <c r="E1544" s="3" t="s">
        <v>7</v>
      </c>
      <c r="F1544" s="3" t="s">
        <v>0</v>
      </c>
      <c r="G1544" s="3">
        <v>6</v>
      </c>
      <c r="H1544" s="5">
        <v>14700000</v>
      </c>
    </row>
    <row r="1545" spans="1:8" ht="18.75" x14ac:dyDescent="0.2">
      <c r="A1545" s="3" t="str">
        <f t="shared" si="192"/>
        <v>98/11/26</v>
      </c>
      <c r="B1545" s="3" t="str">
        <f t="shared" si="193"/>
        <v>كالاهاي مصرفي</v>
      </c>
      <c r="C1545" s="3" t="str">
        <f>"انبار مصرفي ZU1"</f>
        <v>انبار مصرفي ZU1</v>
      </c>
      <c r="D1545" s="3" t="str">
        <f>"0207000023"</f>
        <v>0207000023</v>
      </c>
      <c r="E1545" s="3" t="str">
        <f>"شيلنگ 32mm ضد اسيد وباز"</f>
        <v>شيلنگ 32mm ضد اسيد وباز</v>
      </c>
      <c r="F1545" s="3" t="str">
        <f>"متر"</f>
        <v>متر</v>
      </c>
      <c r="G1545" s="3">
        <v>97</v>
      </c>
      <c r="H1545" s="5">
        <v>14744000</v>
      </c>
    </row>
    <row r="1546" spans="1:8" ht="18.75" x14ac:dyDescent="0.2">
      <c r="A1546" s="3" t="str">
        <f t="shared" si="192"/>
        <v>98/11/26</v>
      </c>
      <c r="B1546" s="3" t="str">
        <f t="shared" si="193"/>
        <v>كالاهاي مصرفي</v>
      </c>
      <c r="C1546" s="3" t="str">
        <f>"انبار مصرفي ZU1"</f>
        <v>انبار مصرفي ZU1</v>
      </c>
      <c r="D1546" s="3" t="str">
        <f>"0213000605"</f>
        <v>0213000605</v>
      </c>
      <c r="E1546" s="3" t="str">
        <f>"پوساب P220 معمولي"</f>
        <v>پوساب P220 معمولي</v>
      </c>
      <c r="F1546" s="3" t="str">
        <f>"برگ"</f>
        <v>برگ</v>
      </c>
      <c r="G1546" s="3">
        <v>661</v>
      </c>
      <c r="H1546" s="5">
        <v>14795114</v>
      </c>
    </row>
    <row r="1547" spans="1:8" ht="18.75" x14ac:dyDescent="0.2">
      <c r="A1547" s="3" t="str">
        <f t="shared" si="192"/>
        <v>98/11/26</v>
      </c>
      <c r="B1547" s="3" t="str">
        <f t="shared" si="193"/>
        <v>كالاهاي مصرفي</v>
      </c>
      <c r="C1547" s="3" t="str">
        <f>"انبار مركزي ( عمومي )"</f>
        <v>انبار مركزي ( عمومي )</v>
      </c>
      <c r="D1547" s="3" t="str">
        <f>"0107000008"</f>
        <v>0107000008</v>
      </c>
      <c r="E1547" s="3" t="str">
        <f>"شامپو يك ليتري"</f>
        <v>شامپو يك ليتري</v>
      </c>
      <c r="F1547" s="3" t="str">
        <f>"عدد"</f>
        <v>عدد</v>
      </c>
      <c r="G1547" s="3">
        <v>100</v>
      </c>
      <c r="H1547" s="5">
        <v>14800000</v>
      </c>
    </row>
    <row r="1548" spans="1:8" ht="18.75" x14ac:dyDescent="0.2">
      <c r="A1548" s="3" t="str">
        <f t="shared" si="192"/>
        <v>98/11/26</v>
      </c>
      <c r="B1548" s="3" t="str">
        <f t="shared" si="193"/>
        <v>كالاهاي مصرفي</v>
      </c>
      <c r="C1548" s="3" t="str">
        <f t="shared" ref="C1548:C1562" si="194">"انبار مصرفي ZU1"</f>
        <v>انبار مصرفي ZU1</v>
      </c>
      <c r="D1548" s="3" t="str">
        <f>"0204000969"</f>
        <v>0204000969</v>
      </c>
      <c r="E1548" s="3" t="str">
        <f>"بيرينگ 6220 /C3"</f>
        <v>بيرينگ 6220 /C3</v>
      </c>
      <c r="F1548" s="3" t="str">
        <f>"عدد"</f>
        <v>عدد</v>
      </c>
      <c r="G1548" s="3">
        <v>2</v>
      </c>
      <c r="H1548" s="5">
        <v>14800000</v>
      </c>
    </row>
    <row r="1549" spans="1:8" ht="18.75" x14ac:dyDescent="0.2">
      <c r="A1549" s="3" t="str">
        <f t="shared" si="192"/>
        <v>98/11/26</v>
      </c>
      <c r="B1549" s="3" t="str">
        <f t="shared" si="193"/>
        <v>كالاهاي مصرفي</v>
      </c>
      <c r="C1549" s="3" t="str">
        <f t="shared" si="194"/>
        <v>انبار مصرفي ZU1</v>
      </c>
      <c r="D1549" s="3" t="str">
        <f>"0215000091"</f>
        <v>0215000091</v>
      </c>
      <c r="E1549" s="3" t="str">
        <f>"فيلتر پارچه اي( ليستر )F5 فشرده با ضخامت 5mm عرض يك متر"</f>
        <v>فيلتر پارچه اي( ليستر )F5 فشرده با ضخامت 5mm عرض يك متر</v>
      </c>
      <c r="F1549" s="3" t="str">
        <f>"رول"</f>
        <v>رول</v>
      </c>
      <c r="G1549" s="3">
        <v>5</v>
      </c>
      <c r="H1549" s="5">
        <v>14909091</v>
      </c>
    </row>
    <row r="1550" spans="1:8" ht="18.75" x14ac:dyDescent="0.2">
      <c r="A1550" s="3" t="str">
        <f t="shared" si="192"/>
        <v>98/11/26</v>
      </c>
      <c r="B1550" s="3" t="str">
        <f t="shared" si="193"/>
        <v>كالاهاي مصرفي</v>
      </c>
      <c r="C1550" s="3" t="str">
        <f t="shared" si="194"/>
        <v>انبار مصرفي ZU1</v>
      </c>
      <c r="D1550" s="3" t="str">
        <f>"0101000024"</f>
        <v>0101000024</v>
      </c>
      <c r="E1550" s="3" t="str">
        <f>"سيم آرماتور بندي نمره1.5"</f>
        <v>سيم آرماتور بندي نمره1.5</v>
      </c>
      <c r="F1550" s="3" t="str">
        <f>"کيلوگرم"</f>
        <v>کيلوگرم</v>
      </c>
      <c r="G1550" s="3">
        <v>178</v>
      </c>
      <c r="H1550" s="5">
        <v>14916400</v>
      </c>
    </row>
    <row r="1551" spans="1:8" ht="18.75" x14ac:dyDescent="0.2">
      <c r="A1551" s="3" t="str">
        <f t="shared" si="192"/>
        <v>98/11/26</v>
      </c>
      <c r="B1551" s="3" t="str">
        <f t="shared" si="193"/>
        <v>كالاهاي مصرفي</v>
      </c>
      <c r="C1551" s="3" t="str">
        <f t="shared" si="194"/>
        <v>انبار مصرفي ZU1</v>
      </c>
      <c r="D1551" s="3" t="str">
        <f>"0204001183"</f>
        <v>0204001183</v>
      </c>
      <c r="E1551" s="3" t="str">
        <f>"پکينگ آبندي گرافيتي مسلح 18*18  ميليمتر"</f>
        <v>پکينگ آبندي گرافيتي مسلح 18*18  ميليمتر</v>
      </c>
      <c r="F1551" s="3" t="str">
        <f>"متر"</f>
        <v>متر</v>
      </c>
      <c r="G1551" s="3">
        <v>23</v>
      </c>
      <c r="H1551" s="5">
        <v>14950000</v>
      </c>
    </row>
    <row r="1552" spans="1:8" ht="18.75" x14ac:dyDescent="0.2">
      <c r="A1552" s="3" t="str">
        <f t="shared" si="192"/>
        <v>98/11/26</v>
      </c>
      <c r="B1552" s="3" t="str">
        <f t="shared" si="193"/>
        <v>كالاهاي مصرفي</v>
      </c>
      <c r="C1552" s="3" t="str">
        <f t="shared" si="194"/>
        <v>انبار مصرفي ZU1</v>
      </c>
      <c r="D1552" s="3" t="str">
        <f>"0204000349"</f>
        <v>0204000349</v>
      </c>
      <c r="E1552" s="3" t="str">
        <f>"بيرينگ EK-22218"</f>
        <v>بيرينگ EK-22218</v>
      </c>
      <c r="F1552" s="3" t="str">
        <f>"عدد"</f>
        <v>عدد</v>
      </c>
      <c r="G1552" s="3">
        <v>3</v>
      </c>
      <c r="H1552" s="5">
        <v>15000000</v>
      </c>
    </row>
    <row r="1553" spans="1:8" ht="18.75" x14ac:dyDescent="0.2">
      <c r="A1553" s="3" t="str">
        <f t="shared" si="192"/>
        <v>98/11/26</v>
      </c>
      <c r="B1553" s="3" t="str">
        <f t="shared" si="193"/>
        <v>كالاهاي مصرفي</v>
      </c>
      <c r="C1553" s="3" t="str">
        <f t="shared" si="194"/>
        <v>انبار مصرفي ZU1</v>
      </c>
      <c r="D1553" s="3" t="str">
        <f>"0204000704"</f>
        <v>0204000704</v>
      </c>
      <c r="E1553" s="3" t="str">
        <f>"كاسه نمد Mild Steel 32*52*7 AIB"</f>
        <v>كاسه نمد Mild Steel 32*52*7 AIB</v>
      </c>
      <c r="F1553" s="3" t="str">
        <f>"عدد"</f>
        <v>عدد</v>
      </c>
      <c r="G1553" s="3">
        <v>50</v>
      </c>
      <c r="H1553" s="5">
        <v>15000000</v>
      </c>
    </row>
    <row r="1554" spans="1:8" ht="18.75" x14ac:dyDescent="0.2">
      <c r="A1554" s="3" t="str">
        <f t="shared" si="192"/>
        <v>98/11/26</v>
      </c>
      <c r="B1554" s="3" t="str">
        <f t="shared" si="193"/>
        <v>كالاهاي مصرفي</v>
      </c>
      <c r="C1554" s="3" t="str">
        <f t="shared" si="194"/>
        <v>انبار مصرفي ZU1</v>
      </c>
      <c r="D1554" s="3" t="str">
        <f>"0204001945"</f>
        <v>0204001945</v>
      </c>
      <c r="E1554" s="3" t="str">
        <f>"واشر آببندي گرافيتي مسلح 442*420*3"</f>
        <v>واشر آببندي گرافيتي مسلح 442*420*3</v>
      </c>
      <c r="F1554" s="3" t="str">
        <f>"عدد"</f>
        <v>عدد</v>
      </c>
      <c r="G1554" s="3">
        <v>10</v>
      </c>
      <c r="H1554" s="5">
        <v>15000000</v>
      </c>
    </row>
    <row r="1555" spans="1:8" ht="18.75" x14ac:dyDescent="0.2">
      <c r="A1555" s="3" t="str">
        <f t="shared" si="192"/>
        <v>98/11/26</v>
      </c>
      <c r="B1555" s="3" t="str">
        <f t="shared" si="193"/>
        <v>كالاهاي مصرفي</v>
      </c>
      <c r="C1555" s="3" t="str">
        <f t="shared" si="194"/>
        <v>انبار مصرفي ZU1</v>
      </c>
      <c r="D1555" s="3" t="str">
        <f>"0213001031"</f>
        <v>0213001031</v>
      </c>
      <c r="E1555" s="3" t="str">
        <f>"پوساب برچسب دار P220"</f>
        <v>پوساب برچسب دار P220</v>
      </c>
      <c r="F1555" s="3" t="str">
        <f>"برگ"</f>
        <v>برگ</v>
      </c>
      <c r="G1555" s="3">
        <v>200</v>
      </c>
      <c r="H1555" s="5">
        <v>15000000</v>
      </c>
    </row>
    <row r="1556" spans="1:8" ht="18.75" x14ac:dyDescent="0.2">
      <c r="A1556" s="3" t="str">
        <f t="shared" si="192"/>
        <v>98/11/26</v>
      </c>
      <c r="B1556" s="3" t="str">
        <f t="shared" si="193"/>
        <v>كالاهاي مصرفي</v>
      </c>
      <c r="C1556" s="3" t="str">
        <f t="shared" si="194"/>
        <v>انبار مصرفي ZU1</v>
      </c>
      <c r="D1556" s="3" t="str">
        <f>"0303000021"</f>
        <v>0303000021</v>
      </c>
      <c r="E1556" s="3" t="str">
        <f>"كنترل سطح مايعات"</f>
        <v>كنترل سطح مايعات</v>
      </c>
      <c r="F1556" s="3" t="str">
        <f>"عدد"</f>
        <v>عدد</v>
      </c>
      <c r="G1556" s="3">
        <v>6</v>
      </c>
      <c r="H1556" s="5">
        <v>15000000</v>
      </c>
    </row>
    <row r="1557" spans="1:8" ht="18.75" x14ac:dyDescent="0.2">
      <c r="A1557" s="3" t="str">
        <f t="shared" si="192"/>
        <v>98/11/26</v>
      </c>
      <c r="B1557" s="3" t="str">
        <f t="shared" si="193"/>
        <v>كالاهاي مصرفي</v>
      </c>
      <c r="C1557" s="3" t="str">
        <f t="shared" si="194"/>
        <v>انبار مصرفي ZU1</v>
      </c>
      <c r="D1557" s="3" t="str">
        <f>"0213000202"</f>
        <v>0213000202</v>
      </c>
      <c r="E1557" s="3" t="str">
        <f>"واشر مسي M36"</f>
        <v>واشر مسي M36</v>
      </c>
      <c r="F1557" s="3" t="str">
        <f>"عدد"</f>
        <v>عدد</v>
      </c>
      <c r="G1557" s="3">
        <v>280</v>
      </c>
      <c r="H1557" s="5">
        <v>15008000</v>
      </c>
    </row>
    <row r="1558" spans="1:8" ht="18.75" x14ac:dyDescent="0.2">
      <c r="A1558" s="3" t="str">
        <f t="shared" si="192"/>
        <v>98/11/26</v>
      </c>
      <c r="B1558" s="3" t="str">
        <f t="shared" si="193"/>
        <v>كالاهاي مصرفي</v>
      </c>
      <c r="C1558" s="3" t="str">
        <f t="shared" si="194"/>
        <v>انبار مصرفي ZU1</v>
      </c>
      <c r="D1558" s="3" t="str">
        <f>"0211001735"</f>
        <v>0211001735</v>
      </c>
      <c r="E1558" s="3" t="str">
        <f>"شيم پليت ضخامت 0/4 به ابعاد 125 *125"</f>
        <v>شيم پليت ضخامت 0/4 به ابعاد 125 *125</v>
      </c>
      <c r="F1558" s="3" t="str">
        <f>"عدد"</f>
        <v>عدد</v>
      </c>
      <c r="G1558" s="3">
        <v>49</v>
      </c>
      <c r="H1558" s="5">
        <v>15092000</v>
      </c>
    </row>
    <row r="1559" spans="1:8" ht="18.75" x14ac:dyDescent="0.2">
      <c r="A1559" s="3" t="str">
        <f t="shared" si="192"/>
        <v>98/11/26</v>
      </c>
      <c r="B1559" s="3" t="str">
        <f t="shared" si="193"/>
        <v>كالاهاي مصرفي</v>
      </c>
      <c r="C1559" s="3" t="str">
        <f t="shared" si="194"/>
        <v>انبار مصرفي ZU1</v>
      </c>
      <c r="D1559" s="3" t="str">
        <f>"0211001731"</f>
        <v>0211001731</v>
      </c>
      <c r="E1559" s="3" t="str">
        <f>"شيم پليت ضخامت 0/25 به ابعاد 125 *125"</f>
        <v>شيم پليت ضخامت 0/25 به ابعاد 125 *125</v>
      </c>
      <c r="F1559" s="3" t="str">
        <f>"عدد"</f>
        <v>عدد</v>
      </c>
      <c r="G1559" s="3">
        <v>55</v>
      </c>
      <c r="H1559" s="5">
        <v>15180000</v>
      </c>
    </row>
    <row r="1560" spans="1:8" ht="18.75" x14ac:dyDescent="0.2">
      <c r="A1560" s="3" t="str">
        <f t="shared" si="192"/>
        <v>98/11/26</v>
      </c>
      <c r="B1560" s="3" t="str">
        <f t="shared" si="193"/>
        <v>كالاهاي مصرفي</v>
      </c>
      <c r="C1560" s="3" t="str">
        <f t="shared" si="194"/>
        <v>انبار مصرفي ZU1</v>
      </c>
      <c r="D1560" s="3" t="str">
        <f>"0204001184"</f>
        <v>0204001184</v>
      </c>
      <c r="E1560" s="3" t="str">
        <f>"پکينگ آبندي گرافيتي مسلح 22*22 ميليمتر"</f>
        <v>پکينگ آبندي گرافيتي مسلح 22*22 ميليمتر</v>
      </c>
      <c r="F1560" s="3" t="str">
        <f>"متر"</f>
        <v>متر</v>
      </c>
      <c r="G1560" s="3">
        <v>16</v>
      </c>
      <c r="H1560" s="5">
        <v>15200000</v>
      </c>
    </row>
    <row r="1561" spans="1:8" ht="18.75" x14ac:dyDescent="0.2">
      <c r="A1561" s="3" t="str">
        <f t="shared" si="192"/>
        <v>98/11/26</v>
      </c>
      <c r="B1561" s="3" t="str">
        <f t="shared" si="193"/>
        <v>كالاهاي مصرفي</v>
      </c>
      <c r="C1561" s="3" t="str">
        <f t="shared" si="194"/>
        <v>انبار مصرفي ZU1</v>
      </c>
      <c r="D1561" s="3" t="str">
        <f>"0204001977"</f>
        <v>0204001977</v>
      </c>
      <c r="E1561" s="3" t="str">
        <f>"بوش چدني با قطر داخلي 190 و قطر خارجي 210 و ارتفاع 44 ميليمتر"</f>
        <v>بوش چدني با قطر داخلي 190 و قطر خارجي 210 و ارتفاع 44 ميليمتر</v>
      </c>
      <c r="F1561" s="3" t="str">
        <f>"عدد"</f>
        <v>عدد</v>
      </c>
      <c r="G1561" s="3">
        <v>4</v>
      </c>
      <c r="H1561" s="5">
        <v>15200000</v>
      </c>
    </row>
    <row r="1562" spans="1:8" ht="18.75" x14ac:dyDescent="0.2">
      <c r="A1562" s="3" t="str">
        <f t="shared" si="192"/>
        <v>98/11/26</v>
      </c>
      <c r="B1562" s="3" t="str">
        <f t="shared" si="193"/>
        <v>كالاهاي مصرفي</v>
      </c>
      <c r="C1562" s="3" t="str">
        <f t="shared" si="194"/>
        <v>انبار مصرفي ZU1</v>
      </c>
      <c r="D1562" s="3" t="str">
        <f>"0213000701"</f>
        <v>0213000701</v>
      </c>
      <c r="E1562" s="3" t="str">
        <f>"خمير جلا"</f>
        <v>خمير جلا</v>
      </c>
      <c r="F1562" s="3" t="str">
        <f>"کيلوگرم"</f>
        <v>کيلوگرم</v>
      </c>
      <c r="G1562" s="3">
        <v>23.5</v>
      </c>
      <c r="H1562" s="5">
        <v>15275000</v>
      </c>
    </row>
    <row r="1563" spans="1:8" ht="18.75" x14ac:dyDescent="0.2">
      <c r="A1563" s="3" t="str">
        <f t="shared" si="192"/>
        <v>98/11/26</v>
      </c>
      <c r="B1563" s="3" t="str">
        <f t="shared" si="193"/>
        <v>كالاهاي مصرفي</v>
      </c>
      <c r="C1563" s="3" t="str">
        <f>"انبار مركزي ( عمومي )"</f>
        <v>انبار مركزي ( عمومي )</v>
      </c>
      <c r="D1563" s="3" t="str">
        <f>"0906000380"</f>
        <v>0906000380</v>
      </c>
      <c r="E1563" s="3" t="str">
        <f>"VGA to HDMI K-net"</f>
        <v>VGA to HDMI K-net</v>
      </c>
      <c r="F1563" s="3" t="str">
        <f>"عدد"</f>
        <v>عدد</v>
      </c>
      <c r="G1563" s="3">
        <v>4</v>
      </c>
      <c r="H1563" s="5">
        <v>15382500</v>
      </c>
    </row>
    <row r="1564" spans="1:8" ht="18.75" x14ac:dyDescent="0.2">
      <c r="A1564" s="3" t="str">
        <f t="shared" si="192"/>
        <v>98/11/26</v>
      </c>
      <c r="B1564" s="3" t="str">
        <f t="shared" si="193"/>
        <v>كالاهاي مصرفي</v>
      </c>
      <c r="C1564" s="3" t="str">
        <f>"انبار مصرفي ZU1"</f>
        <v>انبار مصرفي ZU1</v>
      </c>
      <c r="D1564" s="3" t="str">
        <f>"0204001843"</f>
        <v>0204001843</v>
      </c>
      <c r="E1564" s="3" t="str">
        <f>"صفحات لاستيك آببندي مقاوم در مقابل بنزين و روغن ضخامت 4 ميل"</f>
        <v>صفحات لاستيك آببندي مقاوم در مقابل بنزين و روغن ضخامت 4 ميل</v>
      </c>
      <c r="F1564" s="3" t="str">
        <f>"متر مربع"</f>
        <v>متر مربع</v>
      </c>
      <c r="G1564" s="3">
        <v>11</v>
      </c>
      <c r="H1564" s="5">
        <v>15400000</v>
      </c>
    </row>
    <row r="1565" spans="1:8" ht="18.75" x14ac:dyDescent="0.2">
      <c r="A1565" s="3" t="str">
        <f t="shared" si="192"/>
        <v>98/11/26</v>
      </c>
      <c r="B1565" s="3" t="str">
        <f t="shared" si="193"/>
        <v>كالاهاي مصرفي</v>
      </c>
      <c r="C1565" s="3" t="str">
        <f>"انبار مركزي ( عمومي )"</f>
        <v>انبار مركزي ( عمومي )</v>
      </c>
      <c r="D1565" s="3" t="str">
        <f>"0211000308"</f>
        <v>0211000308</v>
      </c>
      <c r="E1565" s="3" t="str">
        <f>"باطري كتابي 9 ولت قابل شارژ"</f>
        <v>باطري كتابي 9 ولت قابل شارژ</v>
      </c>
      <c r="F1565" s="3" t="str">
        <f>"عدد"</f>
        <v>عدد</v>
      </c>
      <c r="G1565" s="3">
        <v>31</v>
      </c>
      <c r="H1565" s="5">
        <v>15434042</v>
      </c>
    </row>
    <row r="1566" spans="1:8" ht="18.75" x14ac:dyDescent="0.2">
      <c r="A1566" s="3" t="str">
        <f t="shared" si="192"/>
        <v>98/11/26</v>
      </c>
      <c r="B1566" s="3" t="str">
        <f t="shared" si="193"/>
        <v>كالاهاي مصرفي</v>
      </c>
      <c r="C1566" s="3" t="str">
        <f t="shared" ref="C1566:C1573" si="195">"انبار مصرفي ZU1"</f>
        <v>انبار مصرفي ZU1</v>
      </c>
      <c r="D1566" s="3" t="str">
        <f>"0204002066"</f>
        <v>0204002066</v>
      </c>
      <c r="E1566" s="3" t="str">
        <f>"كاسه نمد تيپ H 90*120*13.5-3.5 كمپرسور US"</f>
        <v>كاسه نمد تيپ H 90*120*13.5-3.5 كمپرسور US</v>
      </c>
      <c r="F1566" s="3" t="str">
        <f>"عدد"</f>
        <v>عدد</v>
      </c>
      <c r="G1566" s="3">
        <v>10</v>
      </c>
      <c r="H1566" s="5">
        <v>15450000</v>
      </c>
    </row>
    <row r="1567" spans="1:8" ht="18.75" x14ac:dyDescent="0.2">
      <c r="A1567" s="3" t="str">
        <f t="shared" si="192"/>
        <v>98/11/26</v>
      </c>
      <c r="B1567" s="3" t="str">
        <f t="shared" si="193"/>
        <v>كالاهاي مصرفي</v>
      </c>
      <c r="C1567" s="3" t="str">
        <f t="shared" si="195"/>
        <v>انبار مصرفي ZU1</v>
      </c>
      <c r="D1567" s="3" t="str">
        <f>"0213000570"</f>
        <v>0213000570</v>
      </c>
      <c r="E1567" s="3" t="str">
        <f>"پوساب P1500 معمولي"</f>
        <v>پوساب P1500 معمولي</v>
      </c>
      <c r="F1567" s="3" t="str">
        <f>"برگ"</f>
        <v>برگ</v>
      </c>
      <c r="G1567" s="3">
        <v>390</v>
      </c>
      <c r="H1567" s="5">
        <v>15476387</v>
      </c>
    </row>
    <row r="1568" spans="1:8" ht="18.75" x14ac:dyDescent="0.2">
      <c r="A1568" s="3" t="str">
        <f t="shared" si="192"/>
        <v>98/11/26</v>
      </c>
      <c r="B1568" s="3" t="str">
        <f t="shared" si="193"/>
        <v>كالاهاي مصرفي</v>
      </c>
      <c r="C1568" s="3" t="str">
        <f t="shared" si="195"/>
        <v>انبار مصرفي ZU1</v>
      </c>
      <c r="D1568" s="3" t="str">
        <f>"0204000822"</f>
        <v>0204000822</v>
      </c>
      <c r="E1568" s="3" t="str">
        <f>"واشر اورينگ رزينيNBR 140(-2) X 6"</f>
        <v>واشر اورينگ رزينيNBR 140(-2) X 6</v>
      </c>
      <c r="F1568" s="3" t="str">
        <f t="shared" ref="F1568:F1573" si="196">"عدد"</f>
        <v>عدد</v>
      </c>
      <c r="G1568" s="3">
        <v>50</v>
      </c>
      <c r="H1568" s="5">
        <v>15500000</v>
      </c>
    </row>
    <row r="1569" spans="1:8" ht="18.75" x14ac:dyDescent="0.2">
      <c r="A1569" s="3" t="str">
        <f t="shared" si="192"/>
        <v>98/11/26</v>
      </c>
      <c r="B1569" s="3" t="str">
        <f t="shared" si="193"/>
        <v>كالاهاي مصرفي</v>
      </c>
      <c r="C1569" s="3" t="str">
        <f t="shared" si="195"/>
        <v>انبار مصرفي ZU1</v>
      </c>
      <c r="D1569" s="3" t="str">
        <f>"0211001722"</f>
        <v>0211001722</v>
      </c>
      <c r="E1569" s="3" t="str">
        <f>"شيم پليت ضخامت 0/1 به ابعاد200*200"</f>
        <v>شيم پليت ضخامت 0/1 به ابعاد200*200</v>
      </c>
      <c r="F1569" s="3" t="str">
        <f t="shared" si="196"/>
        <v>عدد</v>
      </c>
      <c r="G1569" s="3">
        <v>62</v>
      </c>
      <c r="H1569" s="5">
        <v>15500000</v>
      </c>
    </row>
    <row r="1570" spans="1:8" ht="18.75" x14ac:dyDescent="0.2">
      <c r="A1570" s="3" t="str">
        <f t="shared" si="192"/>
        <v>98/11/26</v>
      </c>
      <c r="B1570" s="3" t="str">
        <f t="shared" si="193"/>
        <v>كالاهاي مصرفي</v>
      </c>
      <c r="C1570" s="3" t="str">
        <f t="shared" si="195"/>
        <v>انبار مصرفي ZU1</v>
      </c>
      <c r="D1570" s="3" t="str">
        <f>"0211001725"</f>
        <v>0211001725</v>
      </c>
      <c r="E1570" s="3" t="str">
        <f>"شيم پليت ضخامت 0/2 به ابعاد 100 *100"</f>
        <v>شيم پليت ضخامت 0/2 به ابعاد 100 *100</v>
      </c>
      <c r="F1570" s="3" t="str">
        <f t="shared" si="196"/>
        <v>عدد</v>
      </c>
      <c r="G1570" s="3">
        <v>69</v>
      </c>
      <c r="H1570" s="5">
        <v>15525000</v>
      </c>
    </row>
    <row r="1571" spans="1:8" ht="18.75" x14ac:dyDescent="0.2">
      <c r="A1571" s="3" t="str">
        <f t="shared" si="192"/>
        <v>98/11/26</v>
      </c>
      <c r="B1571" s="3" t="str">
        <f t="shared" si="193"/>
        <v>كالاهاي مصرفي</v>
      </c>
      <c r="C1571" s="3" t="str">
        <f t="shared" si="195"/>
        <v>انبار مصرفي ZU1</v>
      </c>
      <c r="D1571" s="3" t="str">
        <f>"0204001329"</f>
        <v>0204001329</v>
      </c>
      <c r="E1571" s="3" t="str">
        <f>"اورينگ HNBR 810*6.0"</f>
        <v>اورينگ HNBR 810*6.0</v>
      </c>
      <c r="F1571" s="3" t="str">
        <f t="shared" si="196"/>
        <v>عدد</v>
      </c>
      <c r="G1571" s="3">
        <v>9</v>
      </c>
      <c r="H1571" s="5">
        <v>15534000</v>
      </c>
    </row>
    <row r="1572" spans="1:8" ht="18.75" x14ac:dyDescent="0.2">
      <c r="A1572" s="3" t="str">
        <f t="shared" si="192"/>
        <v>98/11/26</v>
      </c>
      <c r="B1572" s="3" t="str">
        <f t="shared" si="193"/>
        <v>كالاهاي مصرفي</v>
      </c>
      <c r="C1572" s="3" t="str">
        <f t="shared" si="195"/>
        <v>انبار مصرفي ZU1</v>
      </c>
      <c r="D1572" s="3" t="str">
        <f>"0204000751"</f>
        <v>0204000751</v>
      </c>
      <c r="E1572" s="3" t="str">
        <f>"واشر اورينگ رزيني 6*(5-)580"</f>
        <v>واشر اورينگ رزيني 6*(5-)580</v>
      </c>
      <c r="F1572" s="3" t="str">
        <f t="shared" si="196"/>
        <v>عدد</v>
      </c>
      <c r="G1572" s="3">
        <v>20</v>
      </c>
      <c r="H1572" s="5">
        <v>15600000</v>
      </c>
    </row>
    <row r="1573" spans="1:8" ht="18.75" x14ac:dyDescent="0.2">
      <c r="A1573" s="3" t="str">
        <f t="shared" si="192"/>
        <v>98/11/26</v>
      </c>
      <c r="B1573" s="3" t="str">
        <f t="shared" si="193"/>
        <v>كالاهاي مصرفي</v>
      </c>
      <c r="C1573" s="3" t="str">
        <f t="shared" si="195"/>
        <v>انبار مصرفي ZU1</v>
      </c>
      <c r="D1573" s="3" t="str">
        <f>"0204001967"</f>
        <v>0204001967</v>
      </c>
      <c r="E1573" s="3" t="str">
        <f>"بوش چدني با قطر داخلي 205 و قطر خارجي 225 و ارتفاع 46 ميليمتر"</f>
        <v>بوش چدني با قطر داخلي 205 و قطر خارجي 225 و ارتفاع 46 ميليمتر</v>
      </c>
      <c r="F1573" s="3" t="str">
        <f t="shared" si="196"/>
        <v>عدد</v>
      </c>
      <c r="G1573" s="3">
        <v>4</v>
      </c>
      <c r="H1573" s="5">
        <v>15600000</v>
      </c>
    </row>
    <row r="1574" spans="1:8" ht="18.75" x14ac:dyDescent="0.2">
      <c r="A1574" s="3" t="str">
        <f t="shared" si="192"/>
        <v>98/11/26</v>
      </c>
      <c r="B1574" s="3" t="str">
        <f t="shared" si="193"/>
        <v>كالاهاي مصرفي</v>
      </c>
      <c r="C1574" s="3" t="str">
        <f>"انبار مركزي ( عمومي )"</f>
        <v>انبار مركزي ( عمومي )</v>
      </c>
      <c r="D1574" s="3" t="str">
        <f>"0601000027"</f>
        <v>0601000027</v>
      </c>
      <c r="E1574" s="3" t="str">
        <f>"دستكش كار  برزنتي"</f>
        <v>دستكش كار  برزنتي</v>
      </c>
      <c r="F1574" s="3" t="str">
        <f>"جفت"</f>
        <v>جفت</v>
      </c>
      <c r="G1574" s="3">
        <v>149</v>
      </c>
      <c r="H1574" s="5">
        <v>15645000</v>
      </c>
    </row>
    <row r="1575" spans="1:8" ht="18.75" x14ac:dyDescent="0.2">
      <c r="A1575" s="3" t="str">
        <f t="shared" si="192"/>
        <v>98/11/26</v>
      </c>
      <c r="B1575" s="3" t="str">
        <f t="shared" si="193"/>
        <v>كالاهاي مصرفي</v>
      </c>
      <c r="C1575" s="3" t="str">
        <f t="shared" ref="C1575:C1590" si="197">"انبار مصرفي ZU1"</f>
        <v>انبار مصرفي ZU1</v>
      </c>
      <c r="D1575" s="3" t="str">
        <f>"0213000218"</f>
        <v>0213000218</v>
      </c>
      <c r="E1575" s="3" t="str">
        <f>"پيچ دوسر رزوه M32*140"</f>
        <v>پيچ دوسر رزوه M32*140</v>
      </c>
      <c r="F1575" s="3" t="str">
        <f>"عدد"</f>
        <v>عدد</v>
      </c>
      <c r="G1575" s="3">
        <v>100</v>
      </c>
      <c r="H1575" s="5">
        <v>15660000</v>
      </c>
    </row>
    <row r="1576" spans="1:8" ht="18.75" x14ac:dyDescent="0.2">
      <c r="A1576" s="3" t="str">
        <f t="shared" si="192"/>
        <v>98/11/26</v>
      </c>
      <c r="B1576" s="3" t="str">
        <f t="shared" si="193"/>
        <v>كالاهاي مصرفي</v>
      </c>
      <c r="C1576" s="3" t="str">
        <f t="shared" si="197"/>
        <v>انبار مصرفي ZU1</v>
      </c>
      <c r="D1576" s="3" t="str">
        <f>"0106000157"</f>
        <v>0106000157</v>
      </c>
      <c r="E1576" s="3" t="str">
        <f>"روغن SUNISO COMPRESSOR Oil 4 GS"</f>
        <v>روغن SUNISO COMPRESSOR Oil 4 GS</v>
      </c>
      <c r="F1576" s="3" t="str">
        <f>"ليتر"</f>
        <v>ليتر</v>
      </c>
      <c r="G1576" s="3">
        <v>16</v>
      </c>
      <c r="H1576" s="5">
        <v>15680000</v>
      </c>
    </row>
    <row r="1577" spans="1:8" ht="18.75" x14ac:dyDescent="0.2">
      <c r="A1577" s="3" t="str">
        <f t="shared" si="192"/>
        <v>98/11/26</v>
      </c>
      <c r="B1577" s="3" t="str">
        <f t="shared" si="193"/>
        <v>كالاهاي مصرفي</v>
      </c>
      <c r="C1577" s="3" t="str">
        <f t="shared" si="197"/>
        <v>انبار مصرفي ZU1</v>
      </c>
      <c r="D1577" s="3" t="str">
        <f>"0206001008"</f>
        <v>0206001008</v>
      </c>
      <c r="E1577" s="3" t="str">
        <f>"درپوش فلنجي هيدرانت STORZ سايز 1/2-2 اينچ"</f>
        <v>درپوش فلنجي هيدرانت STORZ سايز 1/2-2 اينچ</v>
      </c>
      <c r="F1577" s="3" t="str">
        <f t="shared" ref="F1577:F1582" si="198">"عدد"</f>
        <v>عدد</v>
      </c>
      <c r="G1577" s="3">
        <v>16</v>
      </c>
      <c r="H1577" s="5">
        <v>15680000</v>
      </c>
    </row>
    <row r="1578" spans="1:8" ht="18.75" x14ac:dyDescent="0.2">
      <c r="A1578" s="3" t="str">
        <f t="shared" si="192"/>
        <v>98/11/26</v>
      </c>
      <c r="B1578" s="3" t="str">
        <f t="shared" si="193"/>
        <v>كالاهاي مصرفي</v>
      </c>
      <c r="C1578" s="3" t="str">
        <f t="shared" si="197"/>
        <v>انبار مصرفي ZU1</v>
      </c>
      <c r="D1578" s="3" t="str">
        <f>"0204000391"</f>
        <v>0204000391</v>
      </c>
      <c r="E1578" s="3" t="str">
        <f>"بيرينگ 22215EK"</f>
        <v>بيرينگ 22215EK</v>
      </c>
      <c r="F1578" s="3" t="str">
        <f t="shared" si="198"/>
        <v>عدد</v>
      </c>
      <c r="G1578" s="3">
        <v>3</v>
      </c>
      <c r="H1578" s="5">
        <v>15710000</v>
      </c>
    </row>
    <row r="1579" spans="1:8" ht="18.75" x14ac:dyDescent="0.2">
      <c r="A1579" s="3" t="str">
        <f t="shared" si="192"/>
        <v>98/11/26</v>
      </c>
      <c r="B1579" s="3" t="str">
        <f t="shared" si="193"/>
        <v>كالاهاي مصرفي</v>
      </c>
      <c r="C1579" s="3" t="str">
        <f t="shared" si="197"/>
        <v>انبار مصرفي ZU1</v>
      </c>
      <c r="D1579" s="3" t="str">
        <f>"0213000592"</f>
        <v>0213000592</v>
      </c>
      <c r="E1579" s="3" t="str">
        <f>"خاك انداز دسته دار ( همراه با جارو)"</f>
        <v>خاك انداز دسته دار ( همراه با جارو)</v>
      </c>
      <c r="F1579" s="3" t="str">
        <f t="shared" si="198"/>
        <v>عدد</v>
      </c>
      <c r="G1579" s="3">
        <v>149</v>
      </c>
      <c r="H1579" s="5">
        <v>15741694</v>
      </c>
    </row>
    <row r="1580" spans="1:8" ht="18.75" x14ac:dyDescent="0.2">
      <c r="A1580" s="3" t="str">
        <f t="shared" si="192"/>
        <v>98/11/26</v>
      </c>
      <c r="B1580" s="3" t="str">
        <f t="shared" si="193"/>
        <v>كالاهاي مصرفي</v>
      </c>
      <c r="C1580" s="3" t="str">
        <f t="shared" si="197"/>
        <v>انبار مصرفي ZU1</v>
      </c>
      <c r="D1580" s="3" t="str">
        <f>"0213000144"</f>
        <v>0213000144</v>
      </c>
      <c r="E1580" s="3" t="str">
        <f>"پيچ M22*50"</f>
        <v>پيچ M22*50</v>
      </c>
      <c r="F1580" s="3" t="str">
        <f t="shared" si="198"/>
        <v>عدد</v>
      </c>
      <c r="G1580" s="3">
        <v>421</v>
      </c>
      <c r="H1580" s="5">
        <v>15787500</v>
      </c>
    </row>
    <row r="1581" spans="1:8" ht="18.75" x14ac:dyDescent="0.2">
      <c r="A1581" s="3" t="str">
        <f t="shared" si="192"/>
        <v>98/11/26</v>
      </c>
      <c r="B1581" s="3" t="str">
        <f t="shared" si="193"/>
        <v>كالاهاي مصرفي</v>
      </c>
      <c r="C1581" s="3" t="str">
        <f t="shared" si="197"/>
        <v>انبار مصرفي ZU1</v>
      </c>
      <c r="D1581" s="3" t="str">
        <f>"0211001733"</f>
        <v>0211001733</v>
      </c>
      <c r="E1581" s="3" t="str">
        <f>"شيم پليت ضخامت 0/4 به ابعاد 75 *75"</f>
        <v>شيم پليت ضخامت 0/4 به ابعاد 75 *75</v>
      </c>
      <c r="F1581" s="3" t="str">
        <f t="shared" si="198"/>
        <v>عدد</v>
      </c>
      <c r="G1581" s="3">
        <v>59</v>
      </c>
      <c r="H1581" s="5">
        <v>15870000</v>
      </c>
    </row>
    <row r="1582" spans="1:8" ht="18.75" x14ac:dyDescent="0.2">
      <c r="A1582" s="3" t="str">
        <f t="shared" si="192"/>
        <v>98/11/26</v>
      </c>
      <c r="B1582" s="3" t="str">
        <f t="shared" si="193"/>
        <v>كالاهاي مصرفي</v>
      </c>
      <c r="C1582" s="3" t="str">
        <f t="shared" si="197"/>
        <v>انبار مصرفي ZU1</v>
      </c>
      <c r="D1582" s="3" t="str">
        <f>"0304000035"</f>
        <v>0304000035</v>
      </c>
      <c r="E1582" s="3" t="str">
        <f>"شير يكطرفه 1 اينچ"</f>
        <v>شير يكطرفه 1 اينچ</v>
      </c>
      <c r="F1582" s="3" t="str">
        <f t="shared" si="198"/>
        <v>عدد</v>
      </c>
      <c r="G1582" s="3">
        <v>3</v>
      </c>
      <c r="H1582" s="5">
        <v>15900000</v>
      </c>
    </row>
    <row r="1583" spans="1:8" ht="18.75" x14ac:dyDescent="0.2">
      <c r="A1583" s="3" t="str">
        <f t="shared" si="192"/>
        <v>98/11/26</v>
      </c>
      <c r="B1583" s="3" t="str">
        <f t="shared" si="193"/>
        <v>كالاهاي مصرفي</v>
      </c>
      <c r="C1583" s="3" t="str">
        <f t="shared" si="197"/>
        <v>انبار مصرفي ZU1</v>
      </c>
      <c r="D1583" s="3" t="str">
        <f>"0204001015"</f>
        <v>0204001015</v>
      </c>
      <c r="E1583" s="3" t="str">
        <f>"تسمه پروانه SPB 4250"</f>
        <v>تسمه پروانه SPB 4250</v>
      </c>
      <c r="F1583" s="3" t="str">
        <f>"حلقه"</f>
        <v>حلقه</v>
      </c>
      <c r="G1583" s="3">
        <v>16</v>
      </c>
      <c r="H1583" s="5">
        <v>15920000</v>
      </c>
    </row>
    <row r="1584" spans="1:8" ht="18.75" x14ac:dyDescent="0.2">
      <c r="A1584" s="3" t="str">
        <f t="shared" si="192"/>
        <v>98/11/26</v>
      </c>
      <c r="B1584" s="3" t="str">
        <f t="shared" si="193"/>
        <v>كالاهاي مصرفي</v>
      </c>
      <c r="C1584" s="3" t="str">
        <f t="shared" si="197"/>
        <v>انبار مصرفي ZU1</v>
      </c>
      <c r="D1584" s="3" t="str">
        <f>"0204001166"</f>
        <v>0204001166</v>
      </c>
      <c r="E1584" s="3" t="str">
        <f>"پکينگ آببندي (فشاري) تفلوني 14*14 ميليمتر"</f>
        <v>پکينگ آببندي (فشاري) تفلوني 14*14 ميليمتر</v>
      </c>
      <c r="F1584" s="3" t="str">
        <f>"قرقره"</f>
        <v>قرقره</v>
      </c>
      <c r="G1584" s="3">
        <v>1</v>
      </c>
      <c r="H1584" s="5">
        <v>15960000</v>
      </c>
    </row>
    <row r="1585" spans="1:8" ht="18.75" x14ac:dyDescent="0.2">
      <c r="A1585" s="3" t="str">
        <f t="shared" si="192"/>
        <v>98/11/26</v>
      </c>
      <c r="B1585" s="3" t="str">
        <f t="shared" si="193"/>
        <v>كالاهاي مصرفي</v>
      </c>
      <c r="C1585" s="3" t="str">
        <f t="shared" si="197"/>
        <v>انبار مصرفي ZU1</v>
      </c>
      <c r="D1585" s="3" t="str">
        <f>"0106000204"</f>
        <v>0106000204</v>
      </c>
      <c r="E1585" s="3" t="str">
        <f>"روغن oil p3"</f>
        <v>روغن oil p3</v>
      </c>
      <c r="F1585" s="3" t="str">
        <f>"ليتر"</f>
        <v>ليتر</v>
      </c>
      <c r="G1585" s="3">
        <v>20</v>
      </c>
      <c r="H1585" s="5">
        <v>16000000</v>
      </c>
    </row>
    <row r="1586" spans="1:8" ht="18.75" x14ac:dyDescent="0.2">
      <c r="A1586" s="3" t="str">
        <f t="shared" si="192"/>
        <v>98/11/26</v>
      </c>
      <c r="B1586" s="3" t="str">
        <f t="shared" si="193"/>
        <v>كالاهاي مصرفي</v>
      </c>
      <c r="C1586" s="3" t="str">
        <f t="shared" si="197"/>
        <v>انبار مصرفي ZU1</v>
      </c>
      <c r="D1586" s="3" t="str">
        <f>"0106000205"</f>
        <v>0106000205</v>
      </c>
      <c r="E1586" s="3" t="str">
        <f>"روغن edvard ultragrad 19"</f>
        <v>روغن edvard ultragrad 19</v>
      </c>
      <c r="F1586" s="3" t="str">
        <f>"ليتر"</f>
        <v>ليتر</v>
      </c>
      <c r="G1586" s="3">
        <v>20</v>
      </c>
      <c r="H1586" s="5">
        <v>16000000</v>
      </c>
    </row>
    <row r="1587" spans="1:8" ht="18.75" x14ac:dyDescent="0.2">
      <c r="A1587" s="3" t="str">
        <f t="shared" si="192"/>
        <v>98/11/26</v>
      </c>
      <c r="B1587" s="3" t="str">
        <f t="shared" si="193"/>
        <v>كالاهاي مصرفي</v>
      </c>
      <c r="C1587" s="3" t="str">
        <f t="shared" si="197"/>
        <v>انبار مصرفي ZU1</v>
      </c>
      <c r="D1587" s="3" t="str">
        <f>"0204000695"</f>
        <v>0204000695</v>
      </c>
      <c r="E1587" s="3" t="str">
        <f>"واشر آببند شير كيد 180mm"</f>
        <v>واشر آببند شير كيد 180mm</v>
      </c>
      <c r="F1587" s="3" t="str">
        <f>"عدد"</f>
        <v>عدد</v>
      </c>
      <c r="G1587" s="3">
        <v>80</v>
      </c>
      <c r="H1587" s="5">
        <v>16000000</v>
      </c>
    </row>
    <row r="1588" spans="1:8" ht="18.75" x14ac:dyDescent="0.2">
      <c r="A1588" s="3" t="str">
        <f t="shared" si="192"/>
        <v>98/11/26</v>
      </c>
      <c r="B1588" s="3" t="str">
        <f t="shared" si="193"/>
        <v>كالاهاي مصرفي</v>
      </c>
      <c r="C1588" s="3" t="str">
        <f t="shared" si="197"/>
        <v>انبار مصرفي ZU1</v>
      </c>
      <c r="D1588" s="3" t="str">
        <f>"0204001313"</f>
        <v>0204001313</v>
      </c>
      <c r="E1588" s="3" t="str">
        <f>"اورينگ HNBR 90*5.8"</f>
        <v>اورينگ HNBR 90*5.8</v>
      </c>
      <c r="F1588" s="3" t="str">
        <f>"عدد"</f>
        <v>عدد</v>
      </c>
      <c r="G1588" s="3">
        <v>9</v>
      </c>
      <c r="H1588" s="5">
        <v>16074000</v>
      </c>
    </row>
    <row r="1589" spans="1:8" ht="18.75" x14ac:dyDescent="0.2">
      <c r="A1589" s="3" t="str">
        <f t="shared" si="192"/>
        <v>98/11/26</v>
      </c>
      <c r="B1589" s="3" t="str">
        <f t="shared" si="193"/>
        <v>كالاهاي مصرفي</v>
      </c>
      <c r="C1589" s="3" t="str">
        <f t="shared" si="197"/>
        <v>انبار مصرفي ZU1</v>
      </c>
      <c r="D1589" s="3" t="str">
        <f>"0204001311"</f>
        <v>0204001311</v>
      </c>
      <c r="E1589" s="3" t="str">
        <f>"اورينگ HNBR56*3.6"</f>
        <v>اورينگ HNBR56*3.6</v>
      </c>
      <c r="F1589" s="3" t="str">
        <f>"عدد"</f>
        <v>عدد</v>
      </c>
      <c r="G1589" s="3">
        <v>26</v>
      </c>
      <c r="H1589" s="5">
        <v>16117833</v>
      </c>
    </row>
    <row r="1590" spans="1:8" ht="18.75" x14ac:dyDescent="0.2">
      <c r="A1590" s="3" t="str">
        <f t="shared" si="192"/>
        <v>98/11/26</v>
      </c>
      <c r="B1590" s="3" t="str">
        <f t="shared" si="193"/>
        <v>كالاهاي مصرفي</v>
      </c>
      <c r="C1590" s="3" t="str">
        <f t="shared" si="197"/>
        <v>انبار مصرفي ZU1</v>
      </c>
      <c r="D1590" s="3" t="str">
        <f>"0204002077"</f>
        <v>0204002077</v>
      </c>
      <c r="E1590" s="3" t="str">
        <f>"تسمه پروانه LiB 100"</f>
        <v>تسمه پروانه LiB 100</v>
      </c>
      <c r="F1590" s="3" t="str">
        <f>"حلقه"</f>
        <v>حلقه</v>
      </c>
      <c r="G1590" s="3">
        <v>26</v>
      </c>
      <c r="H1590" s="5">
        <v>16120000</v>
      </c>
    </row>
    <row r="1591" spans="1:8" ht="18.75" x14ac:dyDescent="0.2">
      <c r="A1591" s="3" t="str">
        <f t="shared" si="192"/>
        <v>98/11/26</v>
      </c>
      <c r="B1591" s="3" t="str">
        <f t="shared" si="193"/>
        <v>كالاهاي مصرفي</v>
      </c>
      <c r="C1591" s="3" t="str">
        <f>"انبار مركزي ( عمومي )"</f>
        <v>انبار مركزي ( عمومي )</v>
      </c>
      <c r="D1591" s="3" t="str">
        <f>"0203000112"</f>
        <v>0203000112</v>
      </c>
      <c r="E1591" s="3" t="str">
        <f>"آچار (انبر) كلاغي"</f>
        <v>آچار (انبر) كلاغي</v>
      </c>
      <c r="F1591" s="3" t="str">
        <f t="shared" ref="F1591:F1599" si="199">"عدد"</f>
        <v>عدد</v>
      </c>
      <c r="G1591" s="3">
        <v>12</v>
      </c>
      <c r="H1591" s="5">
        <v>16140000</v>
      </c>
    </row>
    <row r="1592" spans="1:8" ht="18.75" x14ac:dyDescent="0.2">
      <c r="A1592" s="3" t="str">
        <f t="shared" si="192"/>
        <v>98/11/26</v>
      </c>
      <c r="B1592" s="3" t="str">
        <f t="shared" si="193"/>
        <v>كالاهاي مصرفي</v>
      </c>
      <c r="C1592" s="3" t="str">
        <f>"انبار مصرفي ZU1"</f>
        <v>انبار مصرفي ZU1</v>
      </c>
      <c r="D1592" s="3" t="str">
        <f>"0213000318"</f>
        <v>0213000318</v>
      </c>
      <c r="E1592" s="3" t="str">
        <f>"برس سيمي سر دريلي استيل"</f>
        <v>برس سيمي سر دريلي استيل</v>
      </c>
      <c r="F1592" s="3" t="str">
        <f t="shared" si="199"/>
        <v>عدد</v>
      </c>
      <c r="G1592" s="3">
        <v>122</v>
      </c>
      <c r="H1592" s="5">
        <v>16225099</v>
      </c>
    </row>
    <row r="1593" spans="1:8" ht="18.75" x14ac:dyDescent="0.2">
      <c r="A1593" s="3" t="str">
        <f t="shared" si="192"/>
        <v>98/11/26</v>
      </c>
      <c r="B1593" s="3" t="str">
        <f t="shared" si="193"/>
        <v>كالاهاي مصرفي</v>
      </c>
      <c r="C1593" s="3" t="str">
        <f>"انبار مركزي ( عمومي )"</f>
        <v>انبار مركزي ( عمومي )</v>
      </c>
      <c r="D1593" s="3" t="str">
        <f>"0101000046"</f>
        <v>0101000046</v>
      </c>
      <c r="E1593" s="3" t="str">
        <f>"روله رنگ آميزي 10 سانتي"</f>
        <v>روله رنگ آميزي 10 سانتي</v>
      </c>
      <c r="F1593" s="3" t="str">
        <f t="shared" si="199"/>
        <v>عدد</v>
      </c>
      <c r="G1593" s="3">
        <v>98</v>
      </c>
      <c r="H1593" s="5">
        <v>16300000</v>
      </c>
    </row>
    <row r="1594" spans="1:8" ht="18.75" x14ac:dyDescent="0.2">
      <c r="A1594" s="3" t="str">
        <f t="shared" si="192"/>
        <v>98/11/26</v>
      </c>
      <c r="B1594" s="3" t="str">
        <f t="shared" si="193"/>
        <v>كالاهاي مصرفي</v>
      </c>
      <c r="C1594" s="3" t="str">
        <f t="shared" ref="C1594:C1602" si="200">"انبار مصرفي ZU1"</f>
        <v>انبار مصرفي ZU1</v>
      </c>
      <c r="D1594" s="3" t="str">
        <f>"0204001655"</f>
        <v>0204001655</v>
      </c>
      <c r="E1594" s="3" t="str">
        <f>"بيرينگ NU214- ECP"</f>
        <v>بيرينگ NU214- ECP</v>
      </c>
      <c r="F1594" s="3" t="str">
        <f t="shared" si="199"/>
        <v>عدد</v>
      </c>
      <c r="G1594" s="3">
        <v>3</v>
      </c>
      <c r="H1594" s="5">
        <v>16400000</v>
      </c>
    </row>
    <row r="1595" spans="1:8" ht="18.75" x14ac:dyDescent="0.2">
      <c r="A1595" s="3" t="str">
        <f t="shared" si="192"/>
        <v>98/11/26</v>
      </c>
      <c r="B1595" s="3" t="str">
        <f t="shared" si="193"/>
        <v>كالاهاي مصرفي</v>
      </c>
      <c r="C1595" s="3" t="str">
        <f t="shared" si="200"/>
        <v>انبار مصرفي ZU1</v>
      </c>
      <c r="D1595" s="3" t="str">
        <f>"0213000145"</f>
        <v>0213000145</v>
      </c>
      <c r="E1595" s="3" t="str">
        <f>"پيچ M24*50"</f>
        <v>پيچ M24*50</v>
      </c>
      <c r="F1595" s="3" t="str">
        <f t="shared" si="199"/>
        <v>عدد</v>
      </c>
      <c r="G1595" s="3">
        <v>391</v>
      </c>
      <c r="H1595" s="5">
        <v>16422000</v>
      </c>
    </row>
    <row r="1596" spans="1:8" ht="18.75" x14ac:dyDescent="0.2">
      <c r="A1596" s="3" t="str">
        <f t="shared" si="192"/>
        <v>98/11/26</v>
      </c>
      <c r="B1596" s="3" t="str">
        <f t="shared" si="193"/>
        <v>كالاهاي مصرفي</v>
      </c>
      <c r="C1596" s="3" t="str">
        <f t="shared" si="200"/>
        <v>انبار مصرفي ZU1</v>
      </c>
      <c r="D1596" s="3" t="str">
        <f>"0204001276"</f>
        <v>0204001276</v>
      </c>
      <c r="E1596" s="3" t="str">
        <f>"واشر اسپيرال تيپ A سايز 3/5 *325 *335"</f>
        <v>واشر اسپيرال تيپ A سايز 3/5 *325 *335</v>
      </c>
      <c r="F1596" s="3" t="str">
        <f t="shared" si="199"/>
        <v>عدد</v>
      </c>
      <c r="G1596" s="3">
        <v>34</v>
      </c>
      <c r="H1596" s="5">
        <v>16456000</v>
      </c>
    </row>
    <row r="1597" spans="1:8" ht="18.75" x14ac:dyDescent="0.2">
      <c r="A1597" s="3" t="str">
        <f t="shared" si="192"/>
        <v>98/11/26</v>
      </c>
      <c r="B1597" s="3" t="str">
        <f t="shared" si="193"/>
        <v>كالاهاي مصرفي</v>
      </c>
      <c r="C1597" s="3" t="str">
        <f t="shared" si="200"/>
        <v>انبار مصرفي ZU1</v>
      </c>
      <c r="D1597" s="3" t="str">
        <f>"0204000968"</f>
        <v>0204000968</v>
      </c>
      <c r="E1597" s="3" t="str">
        <f>"بيرينگ 6208 2RS"</f>
        <v>بيرينگ 6208 2RS</v>
      </c>
      <c r="F1597" s="3" t="str">
        <f t="shared" si="199"/>
        <v>عدد</v>
      </c>
      <c r="G1597" s="3">
        <v>47</v>
      </c>
      <c r="H1597" s="5">
        <v>16497000</v>
      </c>
    </row>
    <row r="1598" spans="1:8" ht="18.75" x14ac:dyDescent="0.2">
      <c r="A1598" s="3" t="str">
        <f t="shared" si="192"/>
        <v>98/11/26</v>
      </c>
      <c r="B1598" s="3" t="str">
        <f t="shared" si="193"/>
        <v>كالاهاي مصرفي</v>
      </c>
      <c r="C1598" s="3" t="str">
        <f t="shared" si="200"/>
        <v>انبار مصرفي ZU1</v>
      </c>
      <c r="D1598" s="3" t="str">
        <f>"0105000001"</f>
        <v>0105000001</v>
      </c>
      <c r="E1598" s="3" t="str">
        <f>"چسب 1و2و3"</f>
        <v>چسب 1و2و3</v>
      </c>
      <c r="F1598" s="3" t="str">
        <f t="shared" si="199"/>
        <v>عدد</v>
      </c>
      <c r="G1598" s="3">
        <v>54</v>
      </c>
      <c r="H1598" s="5">
        <v>16500000</v>
      </c>
    </row>
    <row r="1599" spans="1:8" ht="18.75" x14ac:dyDescent="0.2">
      <c r="A1599" s="3" t="str">
        <f t="shared" si="192"/>
        <v>98/11/26</v>
      </c>
      <c r="B1599" s="3" t="str">
        <f t="shared" si="193"/>
        <v>كالاهاي مصرفي</v>
      </c>
      <c r="C1599" s="3" t="str">
        <f t="shared" si="200"/>
        <v>انبار مصرفي ZU1</v>
      </c>
      <c r="D1599" s="3" t="str">
        <f>"0204000698"</f>
        <v>0204000698</v>
      </c>
      <c r="E1599" s="3" t="str">
        <f>"واشر آببند شير كيد 300mm"</f>
        <v>واشر آببند شير كيد 300mm</v>
      </c>
      <c r="F1599" s="3" t="str">
        <f t="shared" si="199"/>
        <v>عدد</v>
      </c>
      <c r="G1599" s="3">
        <v>66</v>
      </c>
      <c r="H1599" s="5">
        <v>16500000</v>
      </c>
    </row>
    <row r="1600" spans="1:8" ht="18.75" x14ac:dyDescent="0.2">
      <c r="A1600" s="3" t="str">
        <f t="shared" si="192"/>
        <v>98/11/26</v>
      </c>
      <c r="B1600" s="3" t="str">
        <f t="shared" si="193"/>
        <v>كالاهاي مصرفي</v>
      </c>
      <c r="C1600" s="3" t="str">
        <f t="shared" si="200"/>
        <v>انبار مصرفي ZU1</v>
      </c>
      <c r="D1600" s="3" t="str">
        <f>"0204002230"</f>
        <v>0204002230</v>
      </c>
      <c r="E1600" s="3" t="str">
        <f>"شافت تفلون سفيد Ptfe D:20"</f>
        <v>شافت تفلون سفيد Ptfe D:20</v>
      </c>
      <c r="F1600" s="3" t="str">
        <f>"متر"</f>
        <v>متر</v>
      </c>
      <c r="G1600" s="3">
        <v>10</v>
      </c>
      <c r="H1600" s="5">
        <v>16500000</v>
      </c>
    </row>
    <row r="1601" spans="1:8" ht="18.75" x14ac:dyDescent="0.2">
      <c r="A1601" s="3" t="str">
        <f t="shared" si="192"/>
        <v>98/11/26</v>
      </c>
      <c r="B1601" s="3" t="str">
        <f t="shared" si="193"/>
        <v>كالاهاي مصرفي</v>
      </c>
      <c r="C1601" s="3" t="str">
        <f t="shared" si="200"/>
        <v>انبار مصرفي ZU1</v>
      </c>
      <c r="D1601" s="3" t="str">
        <f>"0215000192"</f>
        <v>0215000192</v>
      </c>
      <c r="E1601" s="3" t="str">
        <f>"فيلتر هواي كمپرسور UF05/06 ( Cod:HC-7907)"</f>
        <v>فيلتر هواي كمپرسور UF05/06 ( Cod:HC-7907)</v>
      </c>
      <c r="F1601" s="3" t="str">
        <f t="shared" ref="F1601:F1611" si="201">"عدد"</f>
        <v>عدد</v>
      </c>
      <c r="G1601" s="3">
        <v>9</v>
      </c>
      <c r="H1601" s="5">
        <v>16560000</v>
      </c>
    </row>
    <row r="1602" spans="1:8" ht="18.75" x14ac:dyDescent="0.2">
      <c r="A1602" s="3" t="str">
        <f t="shared" ref="A1602:A1665" si="202">"98/11/26"</f>
        <v>98/11/26</v>
      </c>
      <c r="B1602" s="3" t="str">
        <f t="shared" ref="B1602:B1665" si="203">"كالاهاي مصرفي"</f>
        <v>كالاهاي مصرفي</v>
      </c>
      <c r="C1602" s="3" t="str">
        <f t="shared" si="200"/>
        <v>انبار مصرفي ZU1</v>
      </c>
      <c r="D1602" s="3" t="str">
        <f>"0204000439"</f>
        <v>0204000439</v>
      </c>
      <c r="E1602" s="3" t="str">
        <f>"لرزه گير لاستيكي ELexor"</f>
        <v>لرزه گير لاستيكي ELexor</v>
      </c>
      <c r="F1602" s="3" t="str">
        <f t="shared" si="201"/>
        <v>عدد</v>
      </c>
      <c r="G1602" s="3">
        <v>8</v>
      </c>
      <c r="H1602" s="5">
        <v>16640000</v>
      </c>
    </row>
    <row r="1603" spans="1:8" ht="18.75" x14ac:dyDescent="0.2">
      <c r="A1603" s="3" t="str">
        <f t="shared" si="202"/>
        <v>98/11/26</v>
      </c>
      <c r="B1603" s="3" t="str">
        <f t="shared" si="203"/>
        <v>كالاهاي مصرفي</v>
      </c>
      <c r="C1603" s="3" t="str">
        <f>"انبار مركزي ( عمومي )"</f>
        <v>انبار مركزي ( عمومي )</v>
      </c>
      <c r="D1603" s="3" t="str">
        <f>"0203000129"</f>
        <v>0203000129</v>
      </c>
      <c r="E1603" s="3" t="str">
        <f>"آچارفرانسه18 اينچ ( 450mm )"</f>
        <v>آچارفرانسه18 اينچ ( 450mm )</v>
      </c>
      <c r="F1603" s="3" t="str">
        <f t="shared" si="201"/>
        <v>عدد</v>
      </c>
      <c r="G1603" s="3">
        <v>10</v>
      </c>
      <c r="H1603" s="5">
        <v>16666667</v>
      </c>
    </row>
    <row r="1604" spans="1:8" ht="18.75" x14ac:dyDescent="0.2">
      <c r="A1604" s="3" t="str">
        <f t="shared" si="202"/>
        <v>98/11/26</v>
      </c>
      <c r="B1604" s="3" t="str">
        <f t="shared" si="203"/>
        <v>كالاهاي مصرفي</v>
      </c>
      <c r="C1604" s="3" t="str">
        <f>"انبار مصرفي ZU1"</f>
        <v>انبار مصرفي ZU1</v>
      </c>
      <c r="D1604" s="3" t="str">
        <f>"0204001978"</f>
        <v>0204001978</v>
      </c>
      <c r="E1604" s="3" t="str">
        <f>"بوش چدني با قطر داخلي 230 و قطر خارجي 250 و ارتفاع 56 ميليمتر"</f>
        <v>بوش چدني با قطر داخلي 230 و قطر خارجي 250 و ارتفاع 56 ميليمتر</v>
      </c>
      <c r="F1604" s="3" t="str">
        <f t="shared" si="201"/>
        <v>عدد</v>
      </c>
      <c r="G1604" s="3">
        <v>4</v>
      </c>
      <c r="H1604" s="5">
        <v>16800000</v>
      </c>
    </row>
    <row r="1605" spans="1:8" ht="18.75" x14ac:dyDescent="0.2">
      <c r="A1605" s="3" t="str">
        <f t="shared" si="202"/>
        <v>98/11/26</v>
      </c>
      <c r="B1605" s="3" t="str">
        <f t="shared" si="203"/>
        <v>كالاهاي مصرفي</v>
      </c>
      <c r="C1605" s="3" t="str">
        <f>"انبار مصرفي ZU1"</f>
        <v>انبار مصرفي ZU1</v>
      </c>
      <c r="D1605" s="3" t="str">
        <f>"0211001730"</f>
        <v>0211001730</v>
      </c>
      <c r="E1605" s="3" t="str">
        <f>"شيم پليت ضخامت 0/25 به ابعاد 100 *100"</f>
        <v>شيم پليت ضخامت 0/25 به ابعاد 100 *100</v>
      </c>
      <c r="F1605" s="3" t="str">
        <f t="shared" si="201"/>
        <v>عدد</v>
      </c>
      <c r="G1605" s="3">
        <v>70</v>
      </c>
      <c r="H1605" s="5">
        <v>16800000</v>
      </c>
    </row>
    <row r="1606" spans="1:8" ht="18.75" x14ac:dyDescent="0.2">
      <c r="A1606" s="3" t="str">
        <f t="shared" si="202"/>
        <v>98/11/26</v>
      </c>
      <c r="B1606" s="3" t="str">
        <f t="shared" si="203"/>
        <v>كالاهاي مصرفي</v>
      </c>
      <c r="C1606" s="3" t="str">
        <f>"انبار مركزي ( عمومي )"</f>
        <v>انبار مركزي ( عمومي )</v>
      </c>
      <c r="D1606" s="3" t="str">
        <f>"0903000056"</f>
        <v>0903000056</v>
      </c>
      <c r="E1606" s="3" t="str">
        <f>"H.D.D HP SAS 146GB-6G-DP 15K (PN:512744-001"</f>
        <v>H.D.D HP SAS 146GB-6G-DP 15K (PN:512744-001</v>
      </c>
      <c r="F1606" s="3" t="str">
        <f t="shared" si="201"/>
        <v>عدد</v>
      </c>
      <c r="G1606" s="3">
        <v>2</v>
      </c>
      <c r="H1606" s="5">
        <v>17000000</v>
      </c>
    </row>
    <row r="1607" spans="1:8" ht="18.75" x14ac:dyDescent="0.2">
      <c r="A1607" s="3" t="str">
        <f t="shared" si="202"/>
        <v>98/11/26</v>
      </c>
      <c r="B1607" s="3" t="str">
        <f t="shared" si="203"/>
        <v>كالاهاي مصرفي</v>
      </c>
      <c r="C1607" s="3" t="str">
        <f>"انبار مصرفي ZU1"</f>
        <v>انبار مصرفي ZU1</v>
      </c>
      <c r="D1607" s="3" t="str">
        <f>"0204000693"</f>
        <v>0204000693</v>
      </c>
      <c r="E1607" s="3" t="str">
        <f>"واشر آببند شير كيد 120mm"</f>
        <v>واشر آببند شير كيد 120mm</v>
      </c>
      <c r="F1607" s="3" t="str">
        <f t="shared" si="201"/>
        <v>عدد</v>
      </c>
      <c r="G1607" s="3">
        <v>114</v>
      </c>
      <c r="H1607" s="5">
        <v>17100000</v>
      </c>
    </row>
    <row r="1608" spans="1:8" ht="18.75" x14ac:dyDescent="0.2">
      <c r="A1608" s="3" t="str">
        <f t="shared" si="202"/>
        <v>98/11/26</v>
      </c>
      <c r="B1608" s="3" t="str">
        <f t="shared" si="203"/>
        <v>كالاهاي مصرفي</v>
      </c>
      <c r="C1608" s="3" t="str">
        <f>"انبار مصرفي ZU1"</f>
        <v>انبار مصرفي ZU1</v>
      </c>
      <c r="D1608" s="3" t="str">
        <f>"0204001749"</f>
        <v>0204001749</v>
      </c>
      <c r="E1608" s="3" t="str">
        <f>"بيرينگ NU316ECP"</f>
        <v>بيرينگ NU316ECP</v>
      </c>
      <c r="F1608" s="3" t="str">
        <f t="shared" si="201"/>
        <v>عدد</v>
      </c>
      <c r="G1608" s="3">
        <v>3</v>
      </c>
      <c r="H1608" s="5">
        <v>17100000</v>
      </c>
    </row>
    <row r="1609" spans="1:8" ht="18.75" x14ac:dyDescent="0.2">
      <c r="A1609" s="3" t="str">
        <f t="shared" si="202"/>
        <v>98/11/26</v>
      </c>
      <c r="B1609" s="3" t="str">
        <f t="shared" si="203"/>
        <v>كالاهاي مصرفي</v>
      </c>
      <c r="C1609" s="3" t="str">
        <f>"انبار مصرفي ZU1"</f>
        <v>انبار مصرفي ZU1</v>
      </c>
      <c r="D1609" s="3" t="str">
        <f>"0213000478"</f>
        <v>0213000478</v>
      </c>
      <c r="E1609" s="3" t="str">
        <f>"مهره استنلس استيل M42"</f>
        <v>مهره استنلس استيل M42</v>
      </c>
      <c r="F1609" s="3" t="str">
        <f t="shared" si="201"/>
        <v>عدد</v>
      </c>
      <c r="G1609" s="3">
        <v>64</v>
      </c>
      <c r="H1609" s="5">
        <v>17120000</v>
      </c>
    </row>
    <row r="1610" spans="1:8" ht="18.75" x14ac:dyDescent="0.2">
      <c r="A1610" s="3" t="str">
        <f t="shared" si="202"/>
        <v>98/11/26</v>
      </c>
      <c r="B1610" s="3" t="str">
        <f t="shared" si="203"/>
        <v>كالاهاي مصرفي</v>
      </c>
      <c r="C1610" s="3" t="str">
        <f>"انبار مصرفي ZU1"</f>
        <v>انبار مصرفي ZU1</v>
      </c>
      <c r="D1610" s="3" t="str">
        <f>"0204001628"</f>
        <v>0204001628</v>
      </c>
      <c r="E1610" s="3" t="str">
        <f>"لرزه گير UV 53 D002  دستگاه تهويه"</f>
        <v>لرزه گير UV 53 D002  دستگاه تهويه</v>
      </c>
      <c r="F1610" s="3" t="str">
        <f t="shared" si="201"/>
        <v>عدد</v>
      </c>
      <c r="G1610" s="3">
        <v>16</v>
      </c>
      <c r="H1610" s="5">
        <v>17161291</v>
      </c>
    </row>
    <row r="1611" spans="1:8" ht="18.75" x14ac:dyDescent="0.2">
      <c r="A1611" s="3" t="str">
        <f t="shared" si="202"/>
        <v>98/11/26</v>
      </c>
      <c r="B1611" s="3" t="str">
        <f t="shared" si="203"/>
        <v>كالاهاي مصرفي</v>
      </c>
      <c r="C1611" s="3" t="str">
        <f>"انبار مصرفي ZU1"</f>
        <v>انبار مصرفي ZU1</v>
      </c>
      <c r="D1611" s="3" t="str">
        <f>"0204001378"</f>
        <v>0204001378</v>
      </c>
      <c r="E1611" s="3" t="str">
        <f>"اورينگ HNBR 460*4"</f>
        <v>اورينگ HNBR 460*4</v>
      </c>
      <c r="F1611" s="3" t="str">
        <f t="shared" si="201"/>
        <v>عدد</v>
      </c>
      <c r="G1611" s="3">
        <v>20</v>
      </c>
      <c r="H1611" s="5">
        <v>17240000</v>
      </c>
    </row>
    <row r="1612" spans="1:8" ht="18.75" x14ac:dyDescent="0.2">
      <c r="A1612" s="3" t="str">
        <f t="shared" si="202"/>
        <v>98/11/26</v>
      </c>
      <c r="B1612" s="3" t="str">
        <f t="shared" si="203"/>
        <v>كالاهاي مصرفي</v>
      </c>
      <c r="C1612" s="3" t="str">
        <f>"انبار مركزي ( عمومي )"</f>
        <v>انبار مركزي ( عمومي )</v>
      </c>
      <c r="D1612" s="3" t="str">
        <f>"0213001034"</f>
        <v>0213001034</v>
      </c>
      <c r="E1612" s="3" t="str">
        <f>"پوساب برچسب دار P320"</f>
        <v>پوساب برچسب دار P320</v>
      </c>
      <c r="F1612" s="3" t="str">
        <f>"برگ"</f>
        <v>برگ</v>
      </c>
      <c r="G1612" s="3">
        <v>230</v>
      </c>
      <c r="H1612" s="5">
        <v>17250000</v>
      </c>
    </row>
    <row r="1613" spans="1:8" ht="18.75" x14ac:dyDescent="0.2">
      <c r="A1613" s="3" t="str">
        <f t="shared" si="202"/>
        <v>98/11/26</v>
      </c>
      <c r="B1613" s="3" t="str">
        <f t="shared" si="203"/>
        <v>كالاهاي مصرفي</v>
      </c>
      <c r="C1613" s="3" t="str">
        <f>"انبار مصرفي ZU1"</f>
        <v>انبار مصرفي ZU1</v>
      </c>
      <c r="D1613" s="3" t="str">
        <f>"0204001889"</f>
        <v>0204001889</v>
      </c>
      <c r="E1613" s="3" t="str">
        <f>"كاسه نمد Mild Steel 160*130*12 UA1 FKM 85-90"</f>
        <v>كاسه نمد Mild Steel 160*130*12 UA1 FKM 85-90</v>
      </c>
      <c r="F1613" s="3" t="str">
        <f>"عدد"</f>
        <v>عدد</v>
      </c>
      <c r="G1613" s="3">
        <v>15</v>
      </c>
      <c r="H1613" s="5">
        <v>17280000</v>
      </c>
    </row>
    <row r="1614" spans="1:8" ht="18.75" x14ac:dyDescent="0.2">
      <c r="A1614" s="3" t="str">
        <f t="shared" si="202"/>
        <v>98/11/26</v>
      </c>
      <c r="B1614" s="3" t="str">
        <f t="shared" si="203"/>
        <v>كالاهاي مصرفي</v>
      </c>
      <c r="C1614" s="3" t="str">
        <f>"انبار مصرفي ZU1"</f>
        <v>انبار مصرفي ZU1</v>
      </c>
      <c r="D1614" s="3" t="str">
        <f>"0204001919"</f>
        <v>0204001919</v>
      </c>
      <c r="E1614" s="3" t="s">
        <v>4</v>
      </c>
      <c r="F1614" s="3" t="s">
        <v>0</v>
      </c>
      <c r="G1614" s="3">
        <v>6</v>
      </c>
      <c r="H1614" s="5">
        <v>17290000</v>
      </c>
    </row>
    <row r="1615" spans="1:8" ht="18.75" x14ac:dyDescent="0.2">
      <c r="A1615" s="3" t="str">
        <f t="shared" si="202"/>
        <v>98/11/26</v>
      </c>
      <c r="B1615" s="3" t="str">
        <f t="shared" si="203"/>
        <v>كالاهاي مصرفي</v>
      </c>
      <c r="C1615" s="3" t="str">
        <f>"انبار مركزي ( عمومي )"</f>
        <v>انبار مركزي ( عمومي )</v>
      </c>
      <c r="D1615" s="3" t="str">
        <f>"0203000023"</f>
        <v>0203000023</v>
      </c>
      <c r="E1615" s="3" t="str">
        <f>"پيچ گوشتي ترمينالي عايقي دوسو"</f>
        <v>پيچ گوشتي ترمينالي عايقي دوسو</v>
      </c>
      <c r="F1615" s="3" t="str">
        <f t="shared" ref="F1615:F1623" si="204">"عدد"</f>
        <v>عدد</v>
      </c>
      <c r="G1615" s="3">
        <v>79</v>
      </c>
      <c r="H1615" s="5">
        <v>17380000</v>
      </c>
    </row>
    <row r="1616" spans="1:8" ht="18.75" x14ac:dyDescent="0.2">
      <c r="A1616" s="3" t="str">
        <f t="shared" si="202"/>
        <v>98/11/26</v>
      </c>
      <c r="B1616" s="3" t="str">
        <f t="shared" si="203"/>
        <v>كالاهاي مصرفي</v>
      </c>
      <c r="C1616" s="3" t="str">
        <f t="shared" ref="C1616:C1621" si="205">"انبار مصرفي ZU1"</f>
        <v>انبار مصرفي ZU1</v>
      </c>
      <c r="D1616" s="3" t="str">
        <f>"0204002256"</f>
        <v>0204002256</v>
      </c>
      <c r="E1616" s="3" t="str">
        <f>"بيرينگ 7309B.MP.UA"</f>
        <v>بيرينگ 7309B.MP.UA</v>
      </c>
      <c r="F1616" s="3" t="str">
        <f t="shared" si="204"/>
        <v>عدد</v>
      </c>
      <c r="G1616" s="3">
        <v>2</v>
      </c>
      <c r="H1616" s="5">
        <v>17400000</v>
      </c>
    </row>
    <row r="1617" spans="1:8" ht="18.75" x14ac:dyDescent="0.2">
      <c r="A1617" s="3" t="str">
        <f t="shared" si="202"/>
        <v>98/11/26</v>
      </c>
      <c r="B1617" s="3" t="str">
        <f t="shared" si="203"/>
        <v>كالاهاي مصرفي</v>
      </c>
      <c r="C1617" s="3" t="str">
        <f t="shared" si="205"/>
        <v>انبار مصرفي ZU1</v>
      </c>
      <c r="D1617" s="3" t="str">
        <f>"0215000190"</f>
        <v>0215000190</v>
      </c>
      <c r="E1617" s="3" t="str">
        <f>"فيلتر روغن كمپرسور ( VS15) با كد:W719/5"</f>
        <v>فيلتر روغن كمپرسور ( VS15) با كد:W719/5</v>
      </c>
      <c r="F1617" s="3" t="str">
        <f t="shared" si="204"/>
        <v>عدد</v>
      </c>
      <c r="G1617" s="3">
        <v>30</v>
      </c>
      <c r="H1617" s="5">
        <v>17400000</v>
      </c>
    </row>
    <row r="1618" spans="1:8" ht="18.75" x14ac:dyDescent="0.2">
      <c r="A1618" s="3" t="str">
        <f t="shared" si="202"/>
        <v>98/11/26</v>
      </c>
      <c r="B1618" s="3" t="str">
        <f t="shared" si="203"/>
        <v>كالاهاي مصرفي</v>
      </c>
      <c r="C1618" s="3" t="str">
        <f t="shared" si="205"/>
        <v>انبار مصرفي ZU1</v>
      </c>
      <c r="D1618" s="3" t="str">
        <f>"0203000112"</f>
        <v>0203000112</v>
      </c>
      <c r="E1618" s="3" t="str">
        <f>"آچار (انبر) كلاغي"</f>
        <v>آچار (انبر) كلاغي</v>
      </c>
      <c r="F1618" s="3" t="str">
        <f t="shared" si="204"/>
        <v>عدد</v>
      </c>
      <c r="G1618" s="3">
        <v>14</v>
      </c>
      <c r="H1618" s="5">
        <v>17451539</v>
      </c>
    </row>
    <row r="1619" spans="1:8" ht="18.75" x14ac:dyDescent="0.2">
      <c r="A1619" s="3" t="str">
        <f t="shared" si="202"/>
        <v>98/11/26</v>
      </c>
      <c r="B1619" s="3" t="str">
        <f t="shared" si="203"/>
        <v>كالاهاي مصرفي</v>
      </c>
      <c r="C1619" s="3" t="str">
        <f t="shared" si="205"/>
        <v>انبار مصرفي ZU1</v>
      </c>
      <c r="D1619" s="3" t="str">
        <f>"0204000684"</f>
        <v>0204000684</v>
      </c>
      <c r="E1619" s="3" t="str">
        <f>"واشر اورينگ رزيني 6*(3-)240"</f>
        <v>واشر اورينگ رزيني 6*(3-)240</v>
      </c>
      <c r="F1619" s="3" t="str">
        <f t="shared" si="204"/>
        <v>عدد</v>
      </c>
      <c r="G1619" s="3">
        <v>50</v>
      </c>
      <c r="H1619" s="5">
        <v>17500000</v>
      </c>
    </row>
    <row r="1620" spans="1:8" ht="18.75" x14ac:dyDescent="0.2">
      <c r="A1620" s="3" t="str">
        <f t="shared" si="202"/>
        <v>98/11/26</v>
      </c>
      <c r="B1620" s="3" t="str">
        <f t="shared" si="203"/>
        <v>كالاهاي مصرفي</v>
      </c>
      <c r="C1620" s="3" t="str">
        <f t="shared" si="205"/>
        <v>انبار مصرفي ZU1</v>
      </c>
      <c r="D1620" s="3" t="str">
        <f>"0204000703"</f>
        <v>0204000703</v>
      </c>
      <c r="E1620" s="3" t="str">
        <f>"كاسه نمد Mild Steel 32*52*10 AIB"</f>
        <v>كاسه نمد Mild Steel 32*52*10 AIB</v>
      </c>
      <c r="F1620" s="3" t="str">
        <f t="shared" si="204"/>
        <v>عدد</v>
      </c>
      <c r="G1620" s="3">
        <v>50</v>
      </c>
      <c r="H1620" s="5">
        <v>17500000</v>
      </c>
    </row>
    <row r="1621" spans="1:8" ht="18.75" x14ac:dyDescent="0.2">
      <c r="A1621" s="3" t="str">
        <f t="shared" si="202"/>
        <v>98/11/26</v>
      </c>
      <c r="B1621" s="3" t="str">
        <f t="shared" si="203"/>
        <v>كالاهاي مصرفي</v>
      </c>
      <c r="C1621" s="3" t="str">
        <f t="shared" si="205"/>
        <v>انبار مصرفي ZU1</v>
      </c>
      <c r="D1621" s="3" t="str">
        <f>"0211001740"</f>
        <v>0211001740</v>
      </c>
      <c r="E1621" s="3" t="str">
        <f>"شيم پليت ضخامت 0/5 به ابعاد 75 *75"</f>
        <v>شيم پليت ضخامت 0/5 به ابعاد 75 *75</v>
      </c>
      <c r="F1621" s="3" t="str">
        <f t="shared" si="204"/>
        <v>عدد</v>
      </c>
      <c r="G1621" s="3">
        <v>60</v>
      </c>
      <c r="H1621" s="5">
        <v>17500000</v>
      </c>
    </row>
    <row r="1622" spans="1:8" ht="18.75" x14ac:dyDescent="0.2">
      <c r="A1622" s="3" t="str">
        <f t="shared" si="202"/>
        <v>98/11/26</v>
      </c>
      <c r="B1622" s="3" t="str">
        <f t="shared" si="203"/>
        <v>كالاهاي مصرفي</v>
      </c>
      <c r="C1622" s="3" t="str">
        <f>"انبار مركزي ( عمومي )"</f>
        <v>انبار مركزي ( عمومي )</v>
      </c>
      <c r="D1622" s="3" t="str">
        <f>"0213000826"</f>
        <v>0213000826</v>
      </c>
      <c r="E1622" s="3" t="str">
        <f>"موكت بر (دسته تيغ موکت بر)"</f>
        <v>موكت بر (دسته تيغ موکت بر)</v>
      </c>
      <c r="F1622" s="3" t="str">
        <f t="shared" si="204"/>
        <v>عدد</v>
      </c>
      <c r="G1622" s="3">
        <v>196</v>
      </c>
      <c r="H1622" s="5">
        <v>17556424</v>
      </c>
    </row>
    <row r="1623" spans="1:8" ht="18.75" x14ac:dyDescent="0.2">
      <c r="A1623" s="3" t="str">
        <f t="shared" si="202"/>
        <v>98/11/26</v>
      </c>
      <c r="B1623" s="3" t="str">
        <f t="shared" si="203"/>
        <v>كالاهاي مصرفي</v>
      </c>
      <c r="C1623" s="3" t="str">
        <f>"انبار مصرفي ZU1"</f>
        <v>انبار مصرفي ZU1</v>
      </c>
      <c r="D1623" s="3" t="str">
        <f>"0215000080"</f>
        <v>0215000080</v>
      </c>
      <c r="E1623" s="3" t="str">
        <f>"فيلتر  كيسه اي 600 * 592 *592  -G4"</f>
        <v>فيلتر  كيسه اي 600 * 592 *592  -G4</v>
      </c>
      <c r="F1623" s="3" t="str">
        <f t="shared" si="204"/>
        <v>عدد</v>
      </c>
      <c r="G1623" s="3">
        <v>36</v>
      </c>
      <c r="H1623" s="5">
        <v>17640000</v>
      </c>
    </row>
    <row r="1624" spans="1:8" ht="18.75" x14ac:dyDescent="0.2">
      <c r="A1624" s="3" t="str">
        <f t="shared" si="202"/>
        <v>98/11/26</v>
      </c>
      <c r="B1624" s="3" t="str">
        <f t="shared" si="203"/>
        <v>كالاهاي مصرفي</v>
      </c>
      <c r="C1624" s="3" t="str">
        <f>"انبار مركزي ( عمومي )"</f>
        <v>انبار مركزي ( عمومي )</v>
      </c>
      <c r="D1624" s="3" t="str">
        <f>"0211000585"</f>
        <v>0211000585</v>
      </c>
      <c r="E1624" s="3" t="str">
        <f>"لمينت شيت A3"</f>
        <v>لمينت شيت A3</v>
      </c>
      <c r="F1624" s="3" t="str">
        <f>"بسته"</f>
        <v>بسته</v>
      </c>
      <c r="G1624" s="3">
        <v>20</v>
      </c>
      <c r="H1624" s="5">
        <v>17714286</v>
      </c>
    </row>
    <row r="1625" spans="1:8" ht="18.75" x14ac:dyDescent="0.2">
      <c r="A1625" s="3" t="str">
        <f t="shared" si="202"/>
        <v>98/11/26</v>
      </c>
      <c r="B1625" s="3" t="str">
        <f t="shared" si="203"/>
        <v>كالاهاي مصرفي</v>
      </c>
      <c r="C1625" s="3" t="str">
        <f>"انبار مركزي ( عمومي )"</f>
        <v>انبار مركزي ( عمومي )</v>
      </c>
      <c r="D1625" s="3" t="str">
        <f>"0105000001"</f>
        <v>0105000001</v>
      </c>
      <c r="E1625" s="3" t="str">
        <f>"چسب 1و2و3"</f>
        <v>چسب 1و2و3</v>
      </c>
      <c r="F1625" s="3" t="str">
        <f>"عدد"</f>
        <v>عدد</v>
      </c>
      <c r="G1625" s="3">
        <v>62</v>
      </c>
      <c r="H1625" s="5">
        <v>17790000</v>
      </c>
    </row>
    <row r="1626" spans="1:8" ht="18.75" x14ac:dyDescent="0.2">
      <c r="A1626" s="3" t="str">
        <f t="shared" si="202"/>
        <v>98/11/26</v>
      </c>
      <c r="B1626" s="3" t="str">
        <f t="shared" si="203"/>
        <v>كالاهاي مصرفي</v>
      </c>
      <c r="C1626" s="3" t="str">
        <f>"انبار مصرفي ZU1"</f>
        <v>انبار مصرفي ZU1</v>
      </c>
      <c r="D1626" s="3" t="str">
        <f>"0204001328"</f>
        <v>0204001328</v>
      </c>
      <c r="E1626" s="3" t="str">
        <f>"اورينگ HNBR 837*6.0"</f>
        <v>اورينگ HNBR 837*6.0</v>
      </c>
      <c r="F1626" s="3" t="str">
        <f>"عدد"</f>
        <v>عدد</v>
      </c>
      <c r="G1626" s="3">
        <v>10</v>
      </c>
      <c r="H1626" s="5">
        <v>17820000</v>
      </c>
    </row>
    <row r="1627" spans="1:8" ht="18.75" x14ac:dyDescent="0.2">
      <c r="A1627" s="3" t="str">
        <f t="shared" si="202"/>
        <v>98/11/26</v>
      </c>
      <c r="B1627" s="3" t="str">
        <f t="shared" si="203"/>
        <v>كالاهاي مصرفي</v>
      </c>
      <c r="C1627" s="3" t="str">
        <f>"انبار مركزي ( عمومي )"</f>
        <v>انبار مركزي ( عمومي )</v>
      </c>
      <c r="D1627" s="3" t="str">
        <f>"0105000121"</f>
        <v>0105000121</v>
      </c>
      <c r="E1627" s="3" t="str">
        <f>"چسب اورينگ پمادي"</f>
        <v>چسب اورينگ پمادي</v>
      </c>
      <c r="F1627" s="3" t="str">
        <f>"عدد"</f>
        <v>عدد</v>
      </c>
      <c r="G1627" s="3">
        <v>55</v>
      </c>
      <c r="H1627" s="5">
        <v>17875000</v>
      </c>
    </row>
    <row r="1628" spans="1:8" ht="18.75" x14ac:dyDescent="0.2">
      <c r="A1628" s="3" t="str">
        <f t="shared" si="202"/>
        <v>98/11/26</v>
      </c>
      <c r="B1628" s="3" t="str">
        <f t="shared" si="203"/>
        <v>كالاهاي مصرفي</v>
      </c>
      <c r="C1628" s="3" t="str">
        <f t="shared" ref="C1628:C1636" si="206">"انبار مصرفي ZU1"</f>
        <v>انبار مصرفي ZU1</v>
      </c>
      <c r="D1628" s="3" t="str">
        <f>"0204000525"</f>
        <v>0204000525</v>
      </c>
      <c r="E1628" s="3" t="str">
        <f>"بيرينگ 2RS-62307"</f>
        <v>بيرينگ 2RS-62307</v>
      </c>
      <c r="F1628" s="3" t="str">
        <f>"عدد"</f>
        <v>عدد</v>
      </c>
      <c r="G1628" s="3">
        <v>14</v>
      </c>
      <c r="H1628" s="5">
        <v>17888889</v>
      </c>
    </row>
    <row r="1629" spans="1:8" ht="18.75" x14ac:dyDescent="0.2">
      <c r="A1629" s="3" t="str">
        <f t="shared" si="202"/>
        <v>98/11/26</v>
      </c>
      <c r="B1629" s="3" t="str">
        <f t="shared" si="203"/>
        <v>كالاهاي مصرفي</v>
      </c>
      <c r="C1629" s="3" t="str">
        <f t="shared" si="206"/>
        <v>انبار مصرفي ZU1</v>
      </c>
      <c r="D1629" s="3" t="str">
        <f>"0204001312"</f>
        <v>0204001312</v>
      </c>
      <c r="E1629" s="3" t="str">
        <f>"اورينگ HNBR 63*3"</f>
        <v>اورينگ HNBR 63*3</v>
      </c>
      <c r="F1629" s="3" t="str">
        <f>"عدد"</f>
        <v>عدد</v>
      </c>
      <c r="G1629" s="3">
        <v>17</v>
      </c>
      <c r="H1629" s="5">
        <v>17901000</v>
      </c>
    </row>
    <row r="1630" spans="1:8" ht="18.75" x14ac:dyDescent="0.2">
      <c r="A1630" s="3" t="str">
        <f t="shared" si="202"/>
        <v>98/11/26</v>
      </c>
      <c r="B1630" s="3" t="str">
        <f t="shared" si="203"/>
        <v>كالاهاي مصرفي</v>
      </c>
      <c r="C1630" s="3" t="str">
        <f t="shared" si="206"/>
        <v>انبار مصرفي ZU1</v>
      </c>
      <c r="D1630" s="3" t="str">
        <f>"0106000014"</f>
        <v>0106000014</v>
      </c>
      <c r="E1630" s="3" t="str">
        <f>"روغن Vacuoline 133"</f>
        <v>روغن Vacuoline 133</v>
      </c>
      <c r="F1630" s="3" t="str">
        <f>"ليتر"</f>
        <v>ليتر</v>
      </c>
      <c r="G1630" s="3">
        <v>120</v>
      </c>
      <c r="H1630" s="5">
        <v>18000000</v>
      </c>
    </row>
    <row r="1631" spans="1:8" ht="18.75" x14ac:dyDescent="0.2">
      <c r="A1631" s="3" t="str">
        <f t="shared" si="202"/>
        <v>98/11/26</v>
      </c>
      <c r="B1631" s="3" t="str">
        <f t="shared" si="203"/>
        <v>كالاهاي مصرفي</v>
      </c>
      <c r="C1631" s="3" t="str">
        <f t="shared" si="206"/>
        <v>انبار مصرفي ZU1</v>
      </c>
      <c r="D1631" s="3" t="str">
        <f>"0204001287"</f>
        <v>0204001287</v>
      </c>
      <c r="E1631" s="3" t="str">
        <f>"بيرينگ 51230M"</f>
        <v>بيرينگ 51230M</v>
      </c>
      <c r="F1631" s="3" t="str">
        <f t="shared" ref="F1631:F1637" si="207">"عدد"</f>
        <v>عدد</v>
      </c>
      <c r="G1631" s="3">
        <v>4</v>
      </c>
      <c r="H1631" s="5">
        <v>18000000</v>
      </c>
    </row>
    <row r="1632" spans="1:8" ht="18.75" x14ac:dyDescent="0.2">
      <c r="A1632" s="3" t="str">
        <f t="shared" si="202"/>
        <v>98/11/26</v>
      </c>
      <c r="B1632" s="3" t="str">
        <f t="shared" si="203"/>
        <v>كالاهاي مصرفي</v>
      </c>
      <c r="C1632" s="3" t="str">
        <f t="shared" si="206"/>
        <v>انبار مصرفي ZU1</v>
      </c>
      <c r="D1632" s="3" t="str">
        <f>"0204001471"</f>
        <v>0204001471</v>
      </c>
      <c r="E1632" s="3" t="str">
        <f>"بيرينگ 6030"</f>
        <v>بيرينگ 6030</v>
      </c>
      <c r="F1632" s="3" t="str">
        <f t="shared" si="207"/>
        <v>عدد</v>
      </c>
      <c r="G1632" s="3">
        <v>4</v>
      </c>
      <c r="H1632" s="5">
        <v>18000000</v>
      </c>
    </row>
    <row r="1633" spans="1:8" ht="18.75" x14ac:dyDescent="0.2">
      <c r="A1633" s="3" t="str">
        <f t="shared" si="202"/>
        <v>98/11/26</v>
      </c>
      <c r="B1633" s="3" t="str">
        <f t="shared" si="203"/>
        <v>كالاهاي مصرفي</v>
      </c>
      <c r="C1633" s="3" t="str">
        <f t="shared" si="206"/>
        <v>انبار مصرفي ZU1</v>
      </c>
      <c r="D1633" s="3" t="str">
        <f>"0204001980"</f>
        <v>0204001980</v>
      </c>
      <c r="E1633" s="3" t="str">
        <f>"خمير بلوچك"</f>
        <v>خمير بلوچك</v>
      </c>
      <c r="F1633" s="3" t="str">
        <f t="shared" si="207"/>
        <v>عدد</v>
      </c>
      <c r="G1633" s="3">
        <v>15</v>
      </c>
      <c r="H1633" s="5">
        <v>18000000</v>
      </c>
    </row>
    <row r="1634" spans="1:8" ht="18.75" x14ac:dyDescent="0.2">
      <c r="A1634" s="3" t="str">
        <f t="shared" si="202"/>
        <v>98/11/26</v>
      </c>
      <c r="B1634" s="3" t="str">
        <f t="shared" si="203"/>
        <v>كالاهاي مصرفي</v>
      </c>
      <c r="C1634" s="3" t="str">
        <f t="shared" si="206"/>
        <v>انبار مصرفي ZU1</v>
      </c>
      <c r="D1634" s="3" t="str">
        <f>"0204002067"</f>
        <v>0204002067</v>
      </c>
      <c r="E1634" s="3" t="str">
        <f>"كاسه نمد تيپ H 60*85*12-3 كمپرسور US"</f>
        <v>كاسه نمد تيپ H 60*85*12-3 كمپرسور US</v>
      </c>
      <c r="F1634" s="3" t="str">
        <f t="shared" si="207"/>
        <v>عدد</v>
      </c>
      <c r="G1634" s="3">
        <v>10</v>
      </c>
      <c r="H1634" s="5">
        <v>18000000</v>
      </c>
    </row>
    <row r="1635" spans="1:8" ht="18.75" x14ac:dyDescent="0.2">
      <c r="A1635" s="3" t="str">
        <f t="shared" si="202"/>
        <v>98/11/26</v>
      </c>
      <c r="B1635" s="3" t="str">
        <f t="shared" si="203"/>
        <v>كالاهاي مصرفي</v>
      </c>
      <c r="C1635" s="3" t="str">
        <f t="shared" si="206"/>
        <v>انبار مصرفي ZU1</v>
      </c>
      <c r="D1635" s="3" t="str">
        <f>"0211002102"</f>
        <v>0211002102</v>
      </c>
      <c r="E1635" s="3" t="str">
        <f>"ضربه گير کوپلينگ پمپ روغن TA32D002"</f>
        <v>ضربه گير کوپلينگ پمپ روغن TA32D002</v>
      </c>
      <c r="F1635" s="3" t="str">
        <f t="shared" si="207"/>
        <v>عدد</v>
      </c>
      <c r="G1635" s="3">
        <v>100</v>
      </c>
      <c r="H1635" s="5">
        <v>18000000</v>
      </c>
    </row>
    <row r="1636" spans="1:8" ht="18.75" x14ac:dyDescent="0.2">
      <c r="A1636" s="3" t="str">
        <f t="shared" si="202"/>
        <v>98/11/26</v>
      </c>
      <c r="B1636" s="3" t="str">
        <f t="shared" si="203"/>
        <v>كالاهاي مصرفي</v>
      </c>
      <c r="C1636" s="3" t="str">
        <f t="shared" si="206"/>
        <v>انبار مصرفي ZU1</v>
      </c>
      <c r="D1636" s="3" t="str">
        <f>"0215000106"</f>
        <v>0215000106</v>
      </c>
      <c r="E1636" s="3" t="str">
        <f>"فيلتر كر دراير"</f>
        <v>فيلتر كر دراير</v>
      </c>
      <c r="F1636" s="3" t="str">
        <f t="shared" si="207"/>
        <v>عدد</v>
      </c>
      <c r="G1636" s="3">
        <v>20</v>
      </c>
      <c r="H1636" s="5">
        <v>18000000</v>
      </c>
    </row>
    <row r="1637" spans="1:8" ht="18.75" x14ac:dyDescent="0.2">
      <c r="A1637" s="3" t="str">
        <f t="shared" si="202"/>
        <v>98/11/26</v>
      </c>
      <c r="B1637" s="3" t="str">
        <f t="shared" si="203"/>
        <v>كالاهاي مصرفي</v>
      </c>
      <c r="C1637" s="3" t="str">
        <f>"انبار مركزي ( عمومي )"</f>
        <v>انبار مركزي ( عمومي )</v>
      </c>
      <c r="D1637" s="3" t="str">
        <f>"0903000182"</f>
        <v>0903000182</v>
      </c>
      <c r="E1637" s="3" t="str">
        <f>"KVM switch Aten CS-82A 2ports"</f>
        <v>KVM switch Aten CS-82A 2ports</v>
      </c>
      <c r="F1637" s="3" t="str">
        <f t="shared" si="207"/>
        <v>عدد</v>
      </c>
      <c r="G1637" s="3">
        <v>2</v>
      </c>
      <c r="H1637" s="5">
        <v>18000000</v>
      </c>
    </row>
    <row r="1638" spans="1:8" ht="18.75" x14ac:dyDescent="0.2">
      <c r="A1638" s="3" t="str">
        <f t="shared" si="202"/>
        <v>98/11/26</v>
      </c>
      <c r="B1638" s="3" t="str">
        <f t="shared" si="203"/>
        <v>كالاهاي مصرفي</v>
      </c>
      <c r="C1638" s="3" t="str">
        <f t="shared" ref="C1638:C1651" si="208">"انبار مصرفي ZU1"</f>
        <v>انبار مصرفي ZU1</v>
      </c>
      <c r="D1638" s="3" t="str">
        <f>"0204000145"</f>
        <v>0204000145</v>
      </c>
      <c r="E1638" s="3" t="str">
        <f>"واشر رزيني تاجي شكل ( EPDM )"</f>
        <v>واشر رزيني تاجي شكل ( EPDM )</v>
      </c>
      <c r="F1638" s="3" t="str">
        <f>"متر"</f>
        <v>متر</v>
      </c>
      <c r="G1638" s="3">
        <v>34</v>
      </c>
      <c r="H1638" s="5">
        <v>18020000</v>
      </c>
    </row>
    <row r="1639" spans="1:8" ht="18.75" x14ac:dyDescent="0.2">
      <c r="A1639" s="3" t="str">
        <f t="shared" si="202"/>
        <v>98/11/26</v>
      </c>
      <c r="B1639" s="3" t="str">
        <f t="shared" si="203"/>
        <v>كالاهاي مصرفي</v>
      </c>
      <c r="C1639" s="3" t="str">
        <f t="shared" si="208"/>
        <v>انبار مصرفي ZU1</v>
      </c>
      <c r="D1639" s="3" t="str">
        <f>"0211001734"</f>
        <v>0211001734</v>
      </c>
      <c r="E1639" s="3" t="str">
        <f>"شيم پليت ضخامت 0/4 به ابعاد 100 *100"</f>
        <v>شيم پليت ضخامت 0/4 به ابعاد 100 *100</v>
      </c>
      <c r="F1639" s="3" t="str">
        <f>"عدد"</f>
        <v>عدد</v>
      </c>
      <c r="G1639" s="3">
        <v>70</v>
      </c>
      <c r="H1639" s="5">
        <v>18060000</v>
      </c>
    </row>
    <row r="1640" spans="1:8" ht="18.75" x14ac:dyDescent="0.2">
      <c r="A1640" s="3" t="str">
        <f t="shared" si="202"/>
        <v>98/11/26</v>
      </c>
      <c r="B1640" s="3" t="str">
        <f t="shared" si="203"/>
        <v>كالاهاي مصرفي</v>
      </c>
      <c r="C1640" s="3" t="str">
        <f t="shared" si="208"/>
        <v>انبار مصرفي ZU1</v>
      </c>
      <c r="D1640" s="3" t="str">
        <f>"0601000024"</f>
        <v>0601000024</v>
      </c>
      <c r="E1640" s="3" t="str">
        <f>"دستكش بنائي پلاستيكي (صنعتي)"</f>
        <v>دستكش بنائي پلاستيكي (صنعتي)</v>
      </c>
      <c r="F1640" s="3" t="str">
        <f>"جفت"</f>
        <v>جفت</v>
      </c>
      <c r="G1640" s="3">
        <v>471</v>
      </c>
      <c r="H1640" s="5">
        <v>18088591</v>
      </c>
    </row>
    <row r="1641" spans="1:8" ht="18.75" x14ac:dyDescent="0.2">
      <c r="A1641" s="3" t="str">
        <f t="shared" si="202"/>
        <v>98/11/26</v>
      </c>
      <c r="B1641" s="3" t="str">
        <f t="shared" si="203"/>
        <v>كالاهاي مصرفي</v>
      </c>
      <c r="C1641" s="3" t="str">
        <f t="shared" si="208"/>
        <v>انبار مصرفي ZU1</v>
      </c>
      <c r="D1641" s="3" t="str">
        <f>"0213000227"</f>
        <v>0213000227</v>
      </c>
      <c r="E1641" s="3" t="str">
        <f>"مهره M34"</f>
        <v>مهره M34</v>
      </c>
      <c r="F1641" s="3" t="str">
        <f>"عدد"</f>
        <v>عدد</v>
      </c>
      <c r="G1641" s="3">
        <v>480</v>
      </c>
      <c r="H1641" s="5">
        <v>18144000</v>
      </c>
    </row>
    <row r="1642" spans="1:8" ht="18.75" x14ac:dyDescent="0.2">
      <c r="A1642" s="3" t="str">
        <f t="shared" si="202"/>
        <v>98/11/26</v>
      </c>
      <c r="B1642" s="3" t="str">
        <f t="shared" si="203"/>
        <v>كالاهاي مصرفي</v>
      </c>
      <c r="C1642" s="3" t="str">
        <f t="shared" si="208"/>
        <v>انبار مصرفي ZU1</v>
      </c>
      <c r="D1642" s="3" t="str">
        <f>"0106000169"</f>
        <v>0106000169</v>
      </c>
      <c r="E1642" s="3" t="str">
        <f>"روغن واسكازين 140"</f>
        <v>روغن واسكازين 140</v>
      </c>
      <c r="F1642" s="3" t="str">
        <f>"ليتر"</f>
        <v>ليتر</v>
      </c>
      <c r="G1642" s="3">
        <v>169</v>
      </c>
      <c r="H1642" s="5">
        <v>18182864</v>
      </c>
    </row>
    <row r="1643" spans="1:8" ht="18.75" x14ac:dyDescent="0.2">
      <c r="A1643" s="3" t="str">
        <f t="shared" si="202"/>
        <v>98/11/26</v>
      </c>
      <c r="B1643" s="3" t="str">
        <f t="shared" si="203"/>
        <v>كالاهاي مصرفي</v>
      </c>
      <c r="C1643" s="3" t="str">
        <f t="shared" si="208"/>
        <v>انبار مصرفي ZU1</v>
      </c>
      <c r="D1643" s="3" t="str">
        <f>"0204002152"</f>
        <v>0204002152</v>
      </c>
      <c r="E1643" s="3" t="str">
        <f>"تسمه پروانه SPB -3750"</f>
        <v>تسمه پروانه SPB -3750</v>
      </c>
      <c r="F1643" s="3" t="str">
        <f>"حلقه"</f>
        <v>حلقه</v>
      </c>
      <c r="G1643" s="3">
        <v>13</v>
      </c>
      <c r="H1643" s="5">
        <v>18200000</v>
      </c>
    </row>
    <row r="1644" spans="1:8" ht="18.75" x14ac:dyDescent="0.2">
      <c r="A1644" s="3" t="str">
        <f t="shared" si="202"/>
        <v>98/11/26</v>
      </c>
      <c r="B1644" s="3" t="str">
        <f t="shared" si="203"/>
        <v>كالاهاي مصرفي</v>
      </c>
      <c r="C1644" s="3" t="str">
        <f t="shared" si="208"/>
        <v>انبار مصرفي ZU1</v>
      </c>
      <c r="D1644" s="3" t="str">
        <f>"0103000304"</f>
        <v>0103000304</v>
      </c>
      <c r="E1644" s="3" t="str">
        <f>"رزين آمبر جت 1500H"</f>
        <v>رزين آمبر جت 1500H</v>
      </c>
      <c r="F1644" s="3" t="str">
        <f>"ليتر"</f>
        <v>ليتر</v>
      </c>
      <c r="G1644" s="3">
        <v>100</v>
      </c>
      <c r="H1644" s="5">
        <v>18258400</v>
      </c>
    </row>
    <row r="1645" spans="1:8" ht="18.75" x14ac:dyDescent="0.2">
      <c r="A1645" s="3" t="str">
        <f t="shared" si="202"/>
        <v>98/11/26</v>
      </c>
      <c r="B1645" s="3" t="str">
        <f t="shared" si="203"/>
        <v>كالاهاي مصرفي</v>
      </c>
      <c r="C1645" s="3" t="str">
        <f t="shared" si="208"/>
        <v>انبار مصرفي ZU1</v>
      </c>
      <c r="D1645" s="3" t="str">
        <f>"0303000192"</f>
        <v>0303000192</v>
      </c>
      <c r="E1645" s="3" t="str">
        <f>"مانومتر(10-0) bar"</f>
        <v>مانومتر(10-0) bar</v>
      </c>
      <c r="F1645" s="3" t="str">
        <f>"دستگاه"</f>
        <v>دستگاه</v>
      </c>
      <c r="G1645" s="3">
        <v>4</v>
      </c>
      <c r="H1645" s="5">
        <v>18266666</v>
      </c>
    </row>
    <row r="1646" spans="1:8" ht="18.75" x14ac:dyDescent="0.2">
      <c r="A1646" s="3" t="str">
        <f t="shared" si="202"/>
        <v>98/11/26</v>
      </c>
      <c r="B1646" s="3" t="str">
        <f t="shared" si="203"/>
        <v>كالاهاي مصرفي</v>
      </c>
      <c r="C1646" s="3" t="str">
        <f t="shared" si="208"/>
        <v>انبار مصرفي ZU1</v>
      </c>
      <c r="D1646" s="3" t="str">
        <f>"0204000699"</f>
        <v>0204000699</v>
      </c>
      <c r="E1646" s="3" t="str">
        <f>"واشر آببند شير كيد 400mm"</f>
        <v>واشر آببند شير كيد 400mm</v>
      </c>
      <c r="F1646" s="3" t="str">
        <f>"عدد"</f>
        <v>عدد</v>
      </c>
      <c r="G1646" s="3">
        <v>61</v>
      </c>
      <c r="H1646" s="5">
        <v>18300000</v>
      </c>
    </row>
    <row r="1647" spans="1:8" ht="18.75" x14ac:dyDescent="0.2">
      <c r="A1647" s="3" t="str">
        <f t="shared" si="202"/>
        <v>98/11/26</v>
      </c>
      <c r="B1647" s="3" t="str">
        <f t="shared" si="203"/>
        <v>كالاهاي مصرفي</v>
      </c>
      <c r="C1647" s="3" t="str">
        <f t="shared" si="208"/>
        <v>انبار مصرفي ZU1</v>
      </c>
      <c r="D1647" s="3" t="str">
        <f>"0204000450"</f>
        <v>0204000450</v>
      </c>
      <c r="E1647" s="3" t="str">
        <f>"گسكت مقاوم به آب داغ و بخار با تراكم 1000 ضخامت 0.5 ميليمتر"</f>
        <v>گسكت مقاوم به آب داغ و بخار با تراكم 1000 ضخامت 0.5 ميليمتر</v>
      </c>
      <c r="F1647" s="3" t="str">
        <f>"متر مربع"</f>
        <v>متر مربع</v>
      </c>
      <c r="G1647" s="3">
        <v>49</v>
      </c>
      <c r="H1647" s="5">
        <v>18328502</v>
      </c>
    </row>
    <row r="1648" spans="1:8" ht="18.75" x14ac:dyDescent="0.2">
      <c r="A1648" s="3" t="str">
        <f t="shared" si="202"/>
        <v>98/11/26</v>
      </c>
      <c r="B1648" s="3" t="str">
        <f t="shared" si="203"/>
        <v>كالاهاي مصرفي</v>
      </c>
      <c r="C1648" s="3" t="str">
        <f t="shared" si="208"/>
        <v>انبار مصرفي ZU1</v>
      </c>
      <c r="D1648" s="3" t="str">
        <f>"0103000202"</f>
        <v>0103000202</v>
      </c>
      <c r="E1648" s="3" t="str">
        <f>"الكل اتانول 97% (سفيد)"</f>
        <v>الكل اتانول 97% (سفيد)</v>
      </c>
      <c r="F1648" s="3" t="str">
        <f>"ليتر"</f>
        <v>ليتر</v>
      </c>
      <c r="G1648" s="3">
        <v>60</v>
      </c>
      <c r="H1648" s="5">
        <v>18360000</v>
      </c>
    </row>
    <row r="1649" spans="1:8" ht="18.75" x14ac:dyDescent="0.2">
      <c r="A1649" s="3" t="str">
        <f t="shared" si="202"/>
        <v>98/11/26</v>
      </c>
      <c r="B1649" s="3" t="str">
        <f t="shared" si="203"/>
        <v>كالاهاي مصرفي</v>
      </c>
      <c r="C1649" s="3" t="str">
        <f t="shared" si="208"/>
        <v>انبار مصرفي ZU1</v>
      </c>
      <c r="D1649" s="3" t="str">
        <f>"0204000623"</f>
        <v>0204000623</v>
      </c>
      <c r="E1649" s="3" t="str">
        <f>"واشر اورينگ رزيني 6*(5-) 455"</f>
        <v>واشر اورينگ رزيني 6*(5-) 455</v>
      </c>
      <c r="F1649" s="3" t="str">
        <f>"عدد"</f>
        <v>عدد</v>
      </c>
      <c r="G1649" s="3">
        <v>50</v>
      </c>
      <c r="H1649" s="5">
        <v>18500000</v>
      </c>
    </row>
    <row r="1650" spans="1:8" ht="18.75" x14ac:dyDescent="0.2">
      <c r="A1650" s="3" t="str">
        <f t="shared" si="202"/>
        <v>98/11/26</v>
      </c>
      <c r="B1650" s="3" t="str">
        <f t="shared" si="203"/>
        <v>كالاهاي مصرفي</v>
      </c>
      <c r="C1650" s="3" t="str">
        <f t="shared" si="208"/>
        <v>انبار مصرفي ZU1</v>
      </c>
      <c r="D1650" s="3" t="str">
        <f>"0204001917"</f>
        <v>0204001917</v>
      </c>
      <c r="E1650" s="3" t="s">
        <v>2</v>
      </c>
      <c r="F1650" s="3" t="s">
        <v>0</v>
      </c>
      <c r="G1650" s="3">
        <v>9</v>
      </c>
      <c r="H1650" s="5">
        <v>18540000</v>
      </c>
    </row>
    <row r="1651" spans="1:8" ht="18.75" x14ac:dyDescent="0.2">
      <c r="A1651" s="3" t="str">
        <f t="shared" si="202"/>
        <v>98/11/26</v>
      </c>
      <c r="B1651" s="3" t="str">
        <f t="shared" si="203"/>
        <v>كالاهاي مصرفي</v>
      </c>
      <c r="C1651" s="3" t="str">
        <f t="shared" si="208"/>
        <v>انبار مصرفي ZU1</v>
      </c>
      <c r="D1651" s="3" t="str">
        <f>"0204001918"</f>
        <v>0204001918</v>
      </c>
      <c r="E1651" s="3" t="s">
        <v>3</v>
      </c>
      <c r="F1651" s="3" t="s">
        <v>0</v>
      </c>
      <c r="G1651" s="3">
        <v>9</v>
      </c>
      <c r="H1651" s="5">
        <v>18540000</v>
      </c>
    </row>
    <row r="1652" spans="1:8" ht="18.75" x14ac:dyDescent="0.2">
      <c r="A1652" s="3" t="str">
        <f t="shared" si="202"/>
        <v>98/11/26</v>
      </c>
      <c r="B1652" s="3" t="str">
        <f t="shared" si="203"/>
        <v>كالاهاي مصرفي</v>
      </c>
      <c r="C1652" s="3" t="str">
        <f>"انبار مركزي ( عمومي )"</f>
        <v>انبار مركزي ( عمومي )</v>
      </c>
      <c r="D1652" s="3" t="str">
        <f>"0213000628"</f>
        <v>0213000628</v>
      </c>
      <c r="E1652" s="3" t="str">
        <f>"مته الماسه ست كامل"</f>
        <v>مته الماسه ست كامل</v>
      </c>
      <c r="F1652" s="3" t="str">
        <f>"دست"</f>
        <v>دست</v>
      </c>
      <c r="G1652" s="3">
        <v>19</v>
      </c>
      <c r="H1652" s="5">
        <v>18620000</v>
      </c>
    </row>
    <row r="1653" spans="1:8" ht="18.75" x14ac:dyDescent="0.2">
      <c r="A1653" s="3" t="str">
        <f t="shared" si="202"/>
        <v>98/11/26</v>
      </c>
      <c r="B1653" s="3" t="str">
        <f t="shared" si="203"/>
        <v>كالاهاي مصرفي</v>
      </c>
      <c r="C1653" s="3" t="str">
        <f>"انبار مركزي ( عمومي )"</f>
        <v>انبار مركزي ( عمومي )</v>
      </c>
      <c r="D1653" s="3" t="str">
        <f>"0202000089"</f>
        <v>0202000089</v>
      </c>
      <c r="E1653" s="3" t="str">
        <f>"چراغ قوه جيبي"</f>
        <v>چراغ قوه جيبي</v>
      </c>
      <c r="F1653" s="3" t="str">
        <f>"عدد"</f>
        <v>عدد</v>
      </c>
      <c r="G1653" s="3">
        <v>18</v>
      </c>
      <c r="H1653" s="5">
        <v>18700000</v>
      </c>
    </row>
    <row r="1654" spans="1:8" ht="18.75" x14ac:dyDescent="0.2">
      <c r="A1654" s="3" t="str">
        <f t="shared" si="202"/>
        <v>98/11/26</v>
      </c>
      <c r="B1654" s="3" t="str">
        <f t="shared" si="203"/>
        <v>كالاهاي مصرفي</v>
      </c>
      <c r="C1654" s="3" t="str">
        <f t="shared" ref="C1654:C1660" si="209">"انبار مصرفي ZU1"</f>
        <v>انبار مصرفي ZU1</v>
      </c>
      <c r="D1654" s="3" t="str">
        <f>"0211001736"</f>
        <v>0211001736</v>
      </c>
      <c r="E1654" s="3" t="str">
        <f>"شيم پليت ضخامت 0/4 به ابعاد200*200"</f>
        <v>شيم پليت ضخامت 0/4 به ابعاد200*200</v>
      </c>
      <c r="F1654" s="3" t="str">
        <f>"عدد"</f>
        <v>عدد</v>
      </c>
      <c r="G1654" s="3">
        <v>45</v>
      </c>
      <c r="H1654" s="5">
        <v>18743878</v>
      </c>
    </row>
    <row r="1655" spans="1:8" ht="18.75" x14ac:dyDescent="0.2">
      <c r="A1655" s="3" t="str">
        <f t="shared" si="202"/>
        <v>98/11/26</v>
      </c>
      <c r="B1655" s="3" t="str">
        <f t="shared" si="203"/>
        <v>كالاهاي مصرفي</v>
      </c>
      <c r="C1655" s="3" t="str">
        <f t="shared" si="209"/>
        <v>انبار مصرفي ZU1</v>
      </c>
      <c r="D1655" s="3" t="str">
        <f>"0204002393"</f>
        <v>0204002393</v>
      </c>
      <c r="E1655" s="3" t="str">
        <f>"بيرينگ NU208ECP"</f>
        <v>بيرينگ NU208ECP</v>
      </c>
      <c r="F1655" s="3" t="str">
        <f>"عدد"</f>
        <v>عدد</v>
      </c>
      <c r="G1655" s="3">
        <v>3</v>
      </c>
      <c r="H1655" s="5">
        <v>18750000</v>
      </c>
    </row>
    <row r="1656" spans="1:8" ht="18.75" x14ac:dyDescent="0.2">
      <c r="A1656" s="3" t="str">
        <f t="shared" si="202"/>
        <v>98/11/26</v>
      </c>
      <c r="B1656" s="3" t="str">
        <f t="shared" si="203"/>
        <v>كالاهاي مصرفي</v>
      </c>
      <c r="C1656" s="3" t="str">
        <f t="shared" si="209"/>
        <v>انبار مصرفي ZU1</v>
      </c>
      <c r="D1656" s="3" t="str">
        <f>"0213001035"</f>
        <v>0213001035</v>
      </c>
      <c r="E1656" s="3" t="str">
        <f>"پوساب برچسب دار P500"</f>
        <v>پوساب برچسب دار P500</v>
      </c>
      <c r="F1656" s="3" t="str">
        <f>"برگ"</f>
        <v>برگ</v>
      </c>
      <c r="G1656" s="3">
        <v>250</v>
      </c>
      <c r="H1656" s="5">
        <v>18750000</v>
      </c>
    </row>
    <row r="1657" spans="1:8" ht="18.75" x14ac:dyDescent="0.2">
      <c r="A1657" s="3" t="str">
        <f t="shared" si="202"/>
        <v>98/11/26</v>
      </c>
      <c r="B1657" s="3" t="str">
        <f t="shared" si="203"/>
        <v>كالاهاي مصرفي</v>
      </c>
      <c r="C1657" s="3" t="str">
        <f t="shared" si="209"/>
        <v>انبار مصرفي ZU1</v>
      </c>
      <c r="D1657" s="3" t="str">
        <f>"0204000422"</f>
        <v>0204000422</v>
      </c>
      <c r="E1657" s="3" t="str">
        <f>"بيرينگ NU219-ECM/C3"</f>
        <v>بيرينگ NU219-ECM/C3</v>
      </c>
      <c r="F1657" s="3" t="str">
        <f>"عدد"</f>
        <v>عدد</v>
      </c>
      <c r="G1657" s="3">
        <v>4</v>
      </c>
      <c r="H1657" s="5">
        <v>18880000</v>
      </c>
    </row>
    <row r="1658" spans="1:8" ht="18.75" x14ac:dyDescent="0.2">
      <c r="A1658" s="3" t="str">
        <f t="shared" si="202"/>
        <v>98/11/26</v>
      </c>
      <c r="B1658" s="3" t="str">
        <f t="shared" si="203"/>
        <v>كالاهاي مصرفي</v>
      </c>
      <c r="C1658" s="3" t="str">
        <f t="shared" si="209"/>
        <v>انبار مصرفي ZU1</v>
      </c>
      <c r="D1658" s="3" t="str">
        <f>"0205000078"</f>
        <v>0205000078</v>
      </c>
      <c r="E1658" s="3" t="str">
        <f>"اسپري زينكا"</f>
        <v>اسپري زينكا</v>
      </c>
      <c r="F1658" s="3" t="str">
        <f>"عدد"</f>
        <v>عدد</v>
      </c>
      <c r="G1658" s="3">
        <v>30</v>
      </c>
      <c r="H1658" s="5">
        <v>18900000</v>
      </c>
    </row>
    <row r="1659" spans="1:8" ht="18.75" x14ac:dyDescent="0.2">
      <c r="A1659" s="3" t="str">
        <f t="shared" si="202"/>
        <v>98/11/26</v>
      </c>
      <c r="B1659" s="3" t="str">
        <f t="shared" si="203"/>
        <v>كالاهاي مصرفي</v>
      </c>
      <c r="C1659" s="3" t="str">
        <f t="shared" si="209"/>
        <v>انبار مصرفي ZU1</v>
      </c>
      <c r="D1659" s="3" t="str">
        <f>"0209000387"</f>
        <v>0209000387</v>
      </c>
      <c r="E1659" s="3" t="str">
        <f>"فنر پولي دستگاه تهويه"</f>
        <v>فنر پولي دستگاه تهويه</v>
      </c>
      <c r="F1659" s="3" t="str">
        <f>"عدد"</f>
        <v>عدد</v>
      </c>
      <c r="G1659" s="3">
        <v>14</v>
      </c>
      <c r="H1659" s="5">
        <v>18900000</v>
      </c>
    </row>
    <row r="1660" spans="1:8" ht="18.75" x14ac:dyDescent="0.2">
      <c r="A1660" s="3" t="str">
        <f t="shared" si="202"/>
        <v>98/11/26</v>
      </c>
      <c r="B1660" s="3" t="str">
        <f t="shared" si="203"/>
        <v>كالاهاي مصرفي</v>
      </c>
      <c r="C1660" s="3" t="str">
        <f t="shared" si="209"/>
        <v>انبار مصرفي ZU1</v>
      </c>
      <c r="D1660" s="3" t="str">
        <f>"0207000014"</f>
        <v>0207000014</v>
      </c>
      <c r="E1660" s="3" t="str">
        <f>"شيلنگ 2.5 اينچ ضد اسيد وباز"</f>
        <v>شيلنگ 2.5 اينچ ضد اسيد وباز</v>
      </c>
      <c r="F1660" s="3" t="str">
        <f>"متر"</f>
        <v>متر</v>
      </c>
      <c r="G1660" s="3">
        <v>82</v>
      </c>
      <c r="H1660" s="5">
        <v>18940392</v>
      </c>
    </row>
    <row r="1661" spans="1:8" ht="18.75" x14ac:dyDescent="0.2">
      <c r="A1661" s="3" t="str">
        <f t="shared" si="202"/>
        <v>98/11/26</v>
      </c>
      <c r="B1661" s="3" t="str">
        <f t="shared" si="203"/>
        <v>كالاهاي مصرفي</v>
      </c>
      <c r="C1661" s="3" t="str">
        <f>"انبار مركزي ( عمومي )"</f>
        <v>انبار مركزي ( عمومي )</v>
      </c>
      <c r="D1661" s="3" t="str">
        <f>"0213000699"</f>
        <v>0213000699</v>
      </c>
      <c r="E1661" s="3" t="str">
        <f>"پوساب P400 معمولي"</f>
        <v>پوساب P400 معمولي</v>
      </c>
      <c r="F1661" s="3" t="str">
        <f>"برگ"</f>
        <v>برگ</v>
      </c>
      <c r="G1661" s="3">
        <v>325</v>
      </c>
      <c r="H1661" s="5">
        <v>18979167</v>
      </c>
    </row>
    <row r="1662" spans="1:8" ht="18.75" x14ac:dyDescent="0.2">
      <c r="A1662" s="3" t="str">
        <f t="shared" si="202"/>
        <v>98/11/26</v>
      </c>
      <c r="B1662" s="3" t="str">
        <f t="shared" si="203"/>
        <v>كالاهاي مصرفي</v>
      </c>
      <c r="C1662" s="3" t="str">
        <f t="shared" ref="C1662:C1668" si="210">"انبار مصرفي ZU1"</f>
        <v>انبار مصرفي ZU1</v>
      </c>
      <c r="D1662" s="3" t="str">
        <f>"0204001522"</f>
        <v>0204001522</v>
      </c>
      <c r="E1662" s="3" t="str">
        <f>"الكتروگيربكس"</f>
        <v>الكتروگيربكس</v>
      </c>
      <c r="F1662" s="3" t="str">
        <f>"دستگاه"</f>
        <v>دستگاه</v>
      </c>
      <c r="G1662" s="3">
        <v>1</v>
      </c>
      <c r="H1662" s="5">
        <v>19000000</v>
      </c>
    </row>
    <row r="1663" spans="1:8" ht="18.75" x14ac:dyDescent="0.2">
      <c r="A1663" s="3" t="str">
        <f t="shared" si="202"/>
        <v>98/11/26</v>
      </c>
      <c r="B1663" s="3" t="str">
        <f t="shared" si="203"/>
        <v>كالاهاي مصرفي</v>
      </c>
      <c r="C1663" s="3" t="str">
        <f t="shared" si="210"/>
        <v>انبار مصرفي ZU1</v>
      </c>
      <c r="D1663" s="3" t="str">
        <f>"0303000228"</f>
        <v>0303000228</v>
      </c>
      <c r="E1663" s="3" t="str">
        <f>"سلونوئيد والو 1/4 اينچ"</f>
        <v>سلونوئيد والو 1/4 اينچ</v>
      </c>
      <c r="F1663" s="3" t="str">
        <f t="shared" ref="F1663:F1669" si="211">"عدد"</f>
        <v>عدد</v>
      </c>
      <c r="G1663" s="3">
        <v>4</v>
      </c>
      <c r="H1663" s="5">
        <v>19000000</v>
      </c>
    </row>
    <row r="1664" spans="1:8" ht="18.75" x14ac:dyDescent="0.2">
      <c r="A1664" s="3" t="str">
        <f t="shared" si="202"/>
        <v>98/11/26</v>
      </c>
      <c r="B1664" s="3" t="str">
        <f t="shared" si="203"/>
        <v>كالاهاي مصرفي</v>
      </c>
      <c r="C1664" s="3" t="str">
        <f t="shared" si="210"/>
        <v>انبار مصرفي ZU1</v>
      </c>
      <c r="D1664" s="3" t="str">
        <f>"0204001625"</f>
        <v>0204001625</v>
      </c>
      <c r="E1664" s="3" t="str">
        <f>"بيرينگ SY25 TFM"</f>
        <v>بيرينگ SY25 TFM</v>
      </c>
      <c r="F1664" s="3" t="str">
        <f t="shared" si="211"/>
        <v>عدد</v>
      </c>
      <c r="G1664" s="3">
        <v>4</v>
      </c>
      <c r="H1664" s="5">
        <v>19180000</v>
      </c>
    </row>
    <row r="1665" spans="1:8" ht="18.75" x14ac:dyDescent="0.2">
      <c r="A1665" s="3" t="str">
        <f t="shared" si="202"/>
        <v>98/11/26</v>
      </c>
      <c r="B1665" s="3" t="str">
        <f t="shared" si="203"/>
        <v>كالاهاي مصرفي</v>
      </c>
      <c r="C1665" s="3" t="str">
        <f t="shared" si="210"/>
        <v>انبار مصرفي ZU1</v>
      </c>
      <c r="D1665" s="3" t="str">
        <f>"0213000420"</f>
        <v>0213000420</v>
      </c>
      <c r="E1665" s="3" t="str">
        <f>"پيچ يك سر رزوه كربن استيل M24*80"</f>
        <v>پيچ يك سر رزوه كربن استيل M24*80</v>
      </c>
      <c r="F1665" s="3" t="str">
        <f t="shared" si="211"/>
        <v>عدد</v>
      </c>
      <c r="G1665" s="3">
        <v>298</v>
      </c>
      <c r="H1665" s="5">
        <v>19196309</v>
      </c>
    </row>
    <row r="1666" spans="1:8" ht="18.75" x14ac:dyDescent="0.2">
      <c r="A1666" s="3" t="str">
        <f t="shared" ref="A1666:A1729" si="212">"98/11/26"</f>
        <v>98/11/26</v>
      </c>
      <c r="B1666" s="3" t="str">
        <f t="shared" ref="B1666:B1729" si="213">"كالاهاي مصرفي"</f>
        <v>كالاهاي مصرفي</v>
      </c>
      <c r="C1666" s="3" t="str">
        <f t="shared" si="210"/>
        <v>انبار مصرفي ZU1</v>
      </c>
      <c r="D1666" s="3" t="str">
        <f>"0204000395"</f>
        <v>0204000395</v>
      </c>
      <c r="E1666" s="3" t="str">
        <f>"بيرينگ7310-BECBM"</f>
        <v>بيرينگ7310-BECBM</v>
      </c>
      <c r="F1666" s="3" t="str">
        <f t="shared" si="211"/>
        <v>عدد</v>
      </c>
      <c r="G1666" s="3">
        <v>8</v>
      </c>
      <c r="H1666" s="5">
        <v>19200000</v>
      </c>
    </row>
    <row r="1667" spans="1:8" ht="18.75" x14ac:dyDescent="0.2">
      <c r="A1667" s="3" t="str">
        <f t="shared" si="212"/>
        <v>98/11/26</v>
      </c>
      <c r="B1667" s="3" t="str">
        <f t="shared" si="213"/>
        <v>كالاهاي مصرفي</v>
      </c>
      <c r="C1667" s="3" t="str">
        <f t="shared" si="210"/>
        <v>انبار مصرفي ZU1</v>
      </c>
      <c r="D1667" s="3" t="str">
        <f>"0204001110"</f>
        <v>0204001110</v>
      </c>
      <c r="E1667" s="3" t="str">
        <f>"بيرينگ NU1010 ML"</f>
        <v>بيرينگ NU1010 ML</v>
      </c>
      <c r="F1667" s="3" t="str">
        <f t="shared" si="211"/>
        <v>عدد</v>
      </c>
      <c r="G1667" s="3">
        <v>2</v>
      </c>
      <c r="H1667" s="5">
        <v>19200000</v>
      </c>
    </row>
    <row r="1668" spans="1:8" ht="18.75" x14ac:dyDescent="0.2">
      <c r="A1668" s="3" t="str">
        <f t="shared" si="212"/>
        <v>98/11/26</v>
      </c>
      <c r="B1668" s="3" t="str">
        <f t="shared" si="213"/>
        <v>كالاهاي مصرفي</v>
      </c>
      <c r="C1668" s="3" t="str">
        <f t="shared" si="210"/>
        <v>انبار مصرفي ZU1</v>
      </c>
      <c r="D1668" s="3" t="str">
        <f>"0204001711"</f>
        <v>0204001711</v>
      </c>
      <c r="E1668" s="3" t="str">
        <f>"بيرينگ 46124"</f>
        <v>بيرينگ 46124</v>
      </c>
      <c r="F1668" s="3" t="str">
        <f t="shared" si="211"/>
        <v>عدد</v>
      </c>
      <c r="G1668" s="3">
        <v>6</v>
      </c>
      <c r="H1668" s="5">
        <v>19200000</v>
      </c>
    </row>
    <row r="1669" spans="1:8" ht="18.75" x14ac:dyDescent="0.2">
      <c r="A1669" s="3" t="str">
        <f t="shared" si="212"/>
        <v>98/11/26</v>
      </c>
      <c r="B1669" s="3" t="str">
        <f t="shared" si="213"/>
        <v>كالاهاي مصرفي</v>
      </c>
      <c r="C1669" s="3" t="str">
        <f>"انبار مركزي ( عمومي )"</f>
        <v>انبار مركزي ( عمومي )</v>
      </c>
      <c r="D1669" s="3" t="str">
        <f>"0206000361"</f>
        <v>0206000361</v>
      </c>
      <c r="E1669" s="3" t="str">
        <f>"شير مخلوط دوش حمام"</f>
        <v>شير مخلوط دوش حمام</v>
      </c>
      <c r="F1669" s="3" t="str">
        <f t="shared" si="211"/>
        <v>عدد</v>
      </c>
      <c r="G1669" s="3">
        <v>6</v>
      </c>
      <c r="H1669" s="5">
        <v>19200000</v>
      </c>
    </row>
    <row r="1670" spans="1:8" ht="18.75" x14ac:dyDescent="0.2">
      <c r="A1670" s="3" t="str">
        <f t="shared" si="212"/>
        <v>98/11/26</v>
      </c>
      <c r="B1670" s="3" t="str">
        <f t="shared" si="213"/>
        <v>كالاهاي مصرفي</v>
      </c>
      <c r="C1670" s="3" t="str">
        <f>"انبار مصرفي ZU1"</f>
        <v>انبار مصرفي ZU1</v>
      </c>
      <c r="D1670" s="3" t="str">
        <f>"0211001282"</f>
        <v>0211001282</v>
      </c>
      <c r="E1670" s="3" t="str">
        <f>"نوار خطر پرتوي"</f>
        <v>نوار خطر پرتوي</v>
      </c>
      <c r="F1670" s="3" t="str">
        <f>"حلقه"</f>
        <v>حلقه</v>
      </c>
      <c r="G1670" s="3">
        <v>37</v>
      </c>
      <c r="H1670" s="5">
        <v>19240000</v>
      </c>
    </row>
    <row r="1671" spans="1:8" ht="18.75" x14ac:dyDescent="0.2">
      <c r="A1671" s="3" t="str">
        <f t="shared" si="212"/>
        <v>98/11/26</v>
      </c>
      <c r="B1671" s="3" t="str">
        <f t="shared" si="213"/>
        <v>كالاهاي مصرفي</v>
      </c>
      <c r="C1671" s="3" t="str">
        <f>"انبار مصرفي ZU1"</f>
        <v>انبار مصرفي ZU1</v>
      </c>
      <c r="D1671" s="3" t="str">
        <f>"0103000206"</f>
        <v>0103000206</v>
      </c>
      <c r="E1671" s="3" t="str">
        <f>"الكل صنعتي"</f>
        <v>الكل صنعتي</v>
      </c>
      <c r="F1671" s="3" t="str">
        <f>"ليتر"</f>
        <v>ليتر</v>
      </c>
      <c r="G1671" s="3">
        <v>316</v>
      </c>
      <c r="H1671" s="5">
        <v>19248958</v>
      </c>
    </row>
    <row r="1672" spans="1:8" ht="18.75" x14ac:dyDescent="0.2">
      <c r="A1672" s="3" t="str">
        <f t="shared" si="212"/>
        <v>98/11/26</v>
      </c>
      <c r="B1672" s="3" t="str">
        <f t="shared" si="213"/>
        <v>كالاهاي مصرفي</v>
      </c>
      <c r="C1672" s="3" t="str">
        <f>"انبار مركزي ( عمومي )"</f>
        <v>انبار مركزي ( عمومي )</v>
      </c>
      <c r="D1672" s="3" t="str">
        <f>"0907000079"</f>
        <v>0907000079</v>
      </c>
      <c r="E1672" s="3" t="str">
        <f>"پرزنتر Rii R900 mini Wireless"</f>
        <v>پرزنتر Rii R900 mini Wireless</v>
      </c>
      <c r="F1672" s="3" t="str">
        <f>"عدد"</f>
        <v>عدد</v>
      </c>
      <c r="G1672" s="3">
        <v>5</v>
      </c>
      <c r="H1672" s="5">
        <v>19321428</v>
      </c>
    </row>
    <row r="1673" spans="1:8" ht="18.75" x14ac:dyDescent="0.2">
      <c r="A1673" s="3" t="str">
        <f t="shared" si="212"/>
        <v>98/11/26</v>
      </c>
      <c r="B1673" s="3" t="str">
        <f t="shared" si="213"/>
        <v>كالاهاي مصرفي</v>
      </c>
      <c r="C1673" s="3" t="str">
        <f t="shared" ref="C1673:C1688" si="214">"انبار مصرفي ZU1"</f>
        <v>انبار مصرفي ZU1</v>
      </c>
      <c r="D1673" s="3" t="str">
        <f>"0204000445"</f>
        <v>0204000445</v>
      </c>
      <c r="E1673" s="3" t="str">
        <f>"نوارلاستيكي با مقطع گرد قطر 10ميليمتر NBR"</f>
        <v>نوارلاستيكي با مقطع گرد قطر 10ميليمتر NBR</v>
      </c>
      <c r="F1673" s="3" t="str">
        <f>"متر"</f>
        <v>متر</v>
      </c>
      <c r="G1673" s="3">
        <v>879</v>
      </c>
      <c r="H1673" s="5">
        <v>19338000</v>
      </c>
    </row>
    <row r="1674" spans="1:8" ht="18.75" x14ac:dyDescent="0.2">
      <c r="A1674" s="3" t="str">
        <f t="shared" si="212"/>
        <v>98/11/26</v>
      </c>
      <c r="B1674" s="3" t="str">
        <f t="shared" si="213"/>
        <v>كالاهاي مصرفي</v>
      </c>
      <c r="C1674" s="3" t="str">
        <f t="shared" si="214"/>
        <v>انبار مصرفي ZU1</v>
      </c>
      <c r="D1674" s="3" t="str">
        <f>"0204000073"</f>
        <v>0204000073</v>
      </c>
      <c r="E1674" s="3" t="str">
        <f>"بيرينگ Nu213-ECJ/C3"</f>
        <v>بيرينگ Nu213-ECJ/C3</v>
      </c>
      <c r="F1674" s="3" t="str">
        <f>"عدد"</f>
        <v>عدد</v>
      </c>
      <c r="G1674" s="3">
        <v>9</v>
      </c>
      <c r="H1674" s="5">
        <v>19350000</v>
      </c>
    </row>
    <row r="1675" spans="1:8" ht="18.75" x14ac:dyDescent="0.2">
      <c r="A1675" s="3" t="str">
        <f t="shared" si="212"/>
        <v>98/11/26</v>
      </c>
      <c r="B1675" s="3" t="str">
        <f t="shared" si="213"/>
        <v>كالاهاي مصرفي</v>
      </c>
      <c r="C1675" s="3" t="str">
        <f t="shared" si="214"/>
        <v>انبار مصرفي ZU1</v>
      </c>
      <c r="D1675" s="3" t="str">
        <f>"0105000053"</f>
        <v>0105000053</v>
      </c>
      <c r="E1675" s="3" t="str">
        <f>"چسب خميري پمادي"</f>
        <v>چسب خميري پمادي</v>
      </c>
      <c r="F1675" s="3" t="str">
        <f>"عدد"</f>
        <v>عدد</v>
      </c>
      <c r="G1675" s="3">
        <v>104</v>
      </c>
      <c r="H1675" s="5">
        <v>19383448</v>
      </c>
    </row>
    <row r="1676" spans="1:8" ht="18.75" x14ac:dyDescent="0.2">
      <c r="A1676" s="3" t="str">
        <f t="shared" si="212"/>
        <v>98/11/26</v>
      </c>
      <c r="B1676" s="3" t="str">
        <f t="shared" si="213"/>
        <v>كالاهاي مصرفي</v>
      </c>
      <c r="C1676" s="3" t="str">
        <f t="shared" si="214"/>
        <v>انبار مصرفي ZU1</v>
      </c>
      <c r="D1676" s="3" t="str">
        <f>"0304000047"</f>
        <v>0304000047</v>
      </c>
      <c r="E1676" s="3" t="str">
        <f>"پكينگ آبندي فشاري 6 *6 شير تفلون آزبستي"</f>
        <v>پكينگ آبندي فشاري 6 *6 شير تفلون آزبستي</v>
      </c>
      <c r="F1676" s="3" t="str">
        <f>"کيلوگرم"</f>
        <v>کيلوگرم</v>
      </c>
      <c r="G1676" s="3">
        <v>17.52</v>
      </c>
      <c r="H1676" s="5">
        <v>19394834</v>
      </c>
    </row>
    <row r="1677" spans="1:8" ht="18.75" x14ac:dyDescent="0.2">
      <c r="A1677" s="3" t="str">
        <f t="shared" si="212"/>
        <v>98/11/26</v>
      </c>
      <c r="B1677" s="3" t="str">
        <f t="shared" si="213"/>
        <v>كالاهاي مصرفي</v>
      </c>
      <c r="C1677" s="3" t="str">
        <f t="shared" si="214"/>
        <v>انبار مصرفي ZU1</v>
      </c>
      <c r="D1677" s="3" t="str">
        <f>"0106000023"</f>
        <v>0106000023</v>
      </c>
      <c r="E1677" s="3" t="str">
        <f>"گريس سيليکوني Molykote111"</f>
        <v>گريس سيليکوني Molykote111</v>
      </c>
      <c r="F1677" s="3" t="str">
        <f>"کيلوگرم"</f>
        <v>کيلوگرم</v>
      </c>
      <c r="G1677" s="3">
        <v>2</v>
      </c>
      <c r="H1677" s="5">
        <v>19400000</v>
      </c>
    </row>
    <row r="1678" spans="1:8" ht="18.75" x14ac:dyDescent="0.2">
      <c r="A1678" s="3" t="str">
        <f t="shared" si="212"/>
        <v>98/11/26</v>
      </c>
      <c r="B1678" s="3" t="str">
        <f t="shared" si="213"/>
        <v>كالاهاي مصرفي</v>
      </c>
      <c r="C1678" s="3" t="str">
        <f t="shared" si="214"/>
        <v>انبار مصرفي ZU1</v>
      </c>
      <c r="D1678" s="3" t="str">
        <f>"0204000085"</f>
        <v>0204000085</v>
      </c>
      <c r="E1678" s="3" t="str">
        <f>"بيرينگ 2Z/C3-6313"</f>
        <v>بيرينگ 2Z/C3-6313</v>
      </c>
      <c r="F1678" s="3" t="str">
        <f>"عدد"</f>
        <v>عدد</v>
      </c>
      <c r="G1678" s="3">
        <v>12</v>
      </c>
      <c r="H1678" s="5">
        <v>19404000</v>
      </c>
    </row>
    <row r="1679" spans="1:8" ht="18.75" x14ac:dyDescent="0.2">
      <c r="A1679" s="3" t="str">
        <f t="shared" si="212"/>
        <v>98/11/26</v>
      </c>
      <c r="B1679" s="3" t="str">
        <f t="shared" si="213"/>
        <v>كالاهاي مصرفي</v>
      </c>
      <c r="C1679" s="3" t="str">
        <f t="shared" si="214"/>
        <v>انبار مصرفي ZU1</v>
      </c>
      <c r="D1679" s="3" t="str">
        <f>"0211001750"</f>
        <v>0211001750</v>
      </c>
      <c r="E1679" s="3" t="str">
        <f>"شيم پليت ضخامت 1 به ابعاد 75 *75"</f>
        <v>شيم پليت ضخامت 1 به ابعاد 75 *75</v>
      </c>
      <c r="F1679" s="3" t="str">
        <f>"عدد"</f>
        <v>عدد</v>
      </c>
      <c r="G1679" s="3">
        <v>56</v>
      </c>
      <c r="H1679" s="5">
        <v>19470000</v>
      </c>
    </row>
    <row r="1680" spans="1:8" ht="18.75" x14ac:dyDescent="0.2">
      <c r="A1680" s="3" t="str">
        <f t="shared" si="212"/>
        <v>98/11/26</v>
      </c>
      <c r="B1680" s="3" t="str">
        <f t="shared" si="213"/>
        <v>كالاهاي مصرفي</v>
      </c>
      <c r="C1680" s="3" t="str">
        <f t="shared" si="214"/>
        <v>انبار مصرفي ZU1</v>
      </c>
      <c r="D1680" s="3" t="str">
        <f>"0204001766"</f>
        <v>0204001766</v>
      </c>
      <c r="E1680" s="3" t="str">
        <f>"اورينگ HNBR ضخامت 3.5 ميليمتر"</f>
        <v>اورينگ HNBR ضخامت 3.5 ميليمتر</v>
      </c>
      <c r="F1680" s="3" t="str">
        <f>"متر"</f>
        <v>متر</v>
      </c>
      <c r="G1680" s="3">
        <v>19</v>
      </c>
      <c r="H1680" s="5">
        <v>19494000</v>
      </c>
    </row>
    <row r="1681" spans="1:8" ht="18.75" x14ac:dyDescent="0.2">
      <c r="A1681" s="3" t="str">
        <f t="shared" si="212"/>
        <v>98/11/26</v>
      </c>
      <c r="B1681" s="3" t="str">
        <f t="shared" si="213"/>
        <v>كالاهاي مصرفي</v>
      </c>
      <c r="C1681" s="3" t="str">
        <f t="shared" si="214"/>
        <v>انبار مصرفي ZU1</v>
      </c>
      <c r="D1681" s="3" t="str">
        <f>"0106000184"</f>
        <v>0106000184</v>
      </c>
      <c r="E1681" s="3" t="str">
        <f>"روغن SUNISO 3GS  گالن4 ليتري"</f>
        <v>روغن SUNISO 3GS  گالن4 ليتري</v>
      </c>
      <c r="F1681" s="3" t="str">
        <f>"ليتر"</f>
        <v>ليتر</v>
      </c>
      <c r="G1681" s="3">
        <v>56</v>
      </c>
      <c r="H1681" s="5">
        <v>19495000</v>
      </c>
    </row>
    <row r="1682" spans="1:8" ht="18.75" x14ac:dyDescent="0.2">
      <c r="A1682" s="3" t="str">
        <f t="shared" si="212"/>
        <v>98/11/26</v>
      </c>
      <c r="B1682" s="3" t="str">
        <f t="shared" si="213"/>
        <v>كالاهاي مصرفي</v>
      </c>
      <c r="C1682" s="3" t="str">
        <f t="shared" si="214"/>
        <v>انبار مصرفي ZU1</v>
      </c>
      <c r="D1682" s="3" t="str">
        <f>"0204001031"</f>
        <v>0204001031</v>
      </c>
      <c r="E1682" s="3" t="str">
        <f>"واشر اورينگ رزينيNBR 160( -2) X 5.8"</f>
        <v>واشر اورينگ رزينيNBR 160( -2) X 5.8</v>
      </c>
      <c r="F1682" s="3" t="str">
        <f>"عدد"</f>
        <v>عدد</v>
      </c>
      <c r="G1682" s="3">
        <v>50</v>
      </c>
      <c r="H1682" s="5">
        <v>19500000</v>
      </c>
    </row>
    <row r="1683" spans="1:8" ht="18.75" x14ac:dyDescent="0.2">
      <c r="A1683" s="3" t="str">
        <f t="shared" si="212"/>
        <v>98/11/26</v>
      </c>
      <c r="B1683" s="3" t="str">
        <f t="shared" si="213"/>
        <v>كالاهاي مصرفي</v>
      </c>
      <c r="C1683" s="3" t="str">
        <f t="shared" si="214"/>
        <v>انبار مصرفي ZU1</v>
      </c>
      <c r="D1683" s="3" t="str">
        <f>"0204001782"</f>
        <v>0204001782</v>
      </c>
      <c r="E1683" s="3" t="str">
        <f>"پکينگ آببندي (فشاري) گرافيتي آزبستي 6*6 ميليمتر"</f>
        <v>پکينگ آببندي (فشاري) گرافيتي آزبستي 6*6 ميليمتر</v>
      </c>
      <c r="F1683" s="3" t="str">
        <f>"قرقره"</f>
        <v>قرقره</v>
      </c>
      <c r="G1683" s="3">
        <v>6</v>
      </c>
      <c r="H1683" s="5">
        <v>19500000</v>
      </c>
    </row>
    <row r="1684" spans="1:8" ht="18.75" x14ac:dyDescent="0.2">
      <c r="A1684" s="3" t="str">
        <f t="shared" si="212"/>
        <v>98/11/26</v>
      </c>
      <c r="B1684" s="3" t="str">
        <f t="shared" si="213"/>
        <v>كالاهاي مصرفي</v>
      </c>
      <c r="C1684" s="3" t="str">
        <f t="shared" si="214"/>
        <v>انبار مصرفي ZU1</v>
      </c>
      <c r="D1684" s="3" t="str">
        <f>"0213000183"</f>
        <v>0213000183</v>
      </c>
      <c r="E1684" s="3" t="str">
        <f>"مهره M20"</f>
        <v>مهره M20</v>
      </c>
      <c r="F1684" s="3" t="str">
        <f>"عدد"</f>
        <v>عدد</v>
      </c>
      <c r="G1684" s="3">
        <v>65</v>
      </c>
      <c r="H1684" s="5">
        <v>19500000</v>
      </c>
    </row>
    <row r="1685" spans="1:8" ht="18.75" x14ac:dyDescent="0.2">
      <c r="A1685" s="3" t="str">
        <f t="shared" si="212"/>
        <v>98/11/26</v>
      </c>
      <c r="B1685" s="3" t="str">
        <f t="shared" si="213"/>
        <v>كالاهاي مصرفي</v>
      </c>
      <c r="C1685" s="3" t="str">
        <f t="shared" si="214"/>
        <v>انبار مصرفي ZU1</v>
      </c>
      <c r="D1685" s="3" t="str">
        <f>"0204000795"</f>
        <v>0204000795</v>
      </c>
      <c r="E1685" s="3" t="str">
        <f>"گسكت(واشرابندي) مسلح گرافيتي - ضخامت 1 ميليمتر"</f>
        <v>گسكت(واشرابندي) مسلح گرافيتي - ضخامت 1 ميليمتر</v>
      </c>
      <c r="F1685" s="3" t="str">
        <f>"متر مربع"</f>
        <v>متر مربع</v>
      </c>
      <c r="G1685" s="3">
        <v>28.5</v>
      </c>
      <c r="H1685" s="5">
        <v>19531204</v>
      </c>
    </row>
    <row r="1686" spans="1:8" ht="18.75" x14ac:dyDescent="0.2">
      <c r="A1686" s="3" t="str">
        <f t="shared" si="212"/>
        <v>98/11/26</v>
      </c>
      <c r="B1686" s="3" t="str">
        <f t="shared" si="213"/>
        <v>كالاهاي مصرفي</v>
      </c>
      <c r="C1686" s="3" t="str">
        <f t="shared" si="214"/>
        <v>انبار مصرفي ZU1</v>
      </c>
      <c r="D1686" s="3" t="str">
        <f>"0211001748"</f>
        <v>0211001748</v>
      </c>
      <c r="E1686" s="3" t="str">
        <f>"شيم پليت ضخامت 0/7 به ابعاد 200 *200"</f>
        <v>شيم پليت ضخامت 0/7 به ابعاد 200 *200</v>
      </c>
      <c r="F1686" s="3" t="str">
        <f>"عدد"</f>
        <v>عدد</v>
      </c>
      <c r="G1686" s="3">
        <v>50</v>
      </c>
      <c r="H1686" s="5">
        <v>19541667</v>
      </c>
    </row>
    <row r="1687" spans="1:8" ht="18.75" x14ac:dyDescent="0.2">
      <c r="A1687" s="3" t="str">
        <f t="shared" si="212"/>
        <v>98/11/26</v>
      </c>
      <c r="B1687" s="3" t="str">
        <f t="shared" si="213"/>
        <v>كالاهاي مصرفي</v>
      </c>
      <c r="C1687" s="3" t="str">
        <f t="shared" si="214"/>
        <v>انبار مصرفي ZU1</v>
      </c>
      <c r="D1687" s="3" t="str">
        <f>"0204001132"</f>
        <v>0204001132</v>
      </c>
      <c r="E1687" s="3" t="str">
        <f>"صفحات لاستيك آببندي مقاوم در مقابل مواد نفتي ضخامت 4"</f>
        <v>صفحات لاستيك آببندي مقاوم در مقابل مواد نفتي ضخامت 4</v>
      </c>
      <c r="F1687" s="3" t="str">
        <f>"متر مربع"</f>
        <v>متر مربع</v>
      </c>
      <c r="G1687" s="3">
        <v>14</v>
      </c>
      <c r="H1687" s="5">
        <v>19600000</v>
      </c>
    </row>
    <row r="1688" spans="1:8" ht="18.75" x14ac:dyDescent="0.2">
      <c r="A1688" s="3" t="str">
        <f t="shared" si="212"/>
        <v>98/11/26</v>
      </c>
      <c r="B1688" s="3" t="str">
        <f t="shared" si="213"/>
        <v>كالاهاي مصرفي</v>
      </c>
      <c r="C1688" s="3" t="str">
        <f t="shared" si="214"/>
        <v>انبار مصرفي ZU1</v>
      </c>
      <c r="D1688" s="3" t="str">
        <f>"0204001105"</f>
        <v>0204001105</v>
      </c>
      <c r="E1688" s="3" t="str">
        <f>"بيرينگ NU317ECM/C4"</f>
        <v>بيرينگ NU317ECM/C4</v>
      </c>
      <c r="F1688" s="3" t="str">
        <f>"عدد"</f>
        <v>عدد</v>
      </c>
      <c r="G1688" s="3">
        <v>3</v>
      </c>
      <c r="H1688" s="5">
        <v>19689000</v>
      </c>
    </row>
    <row r="1689" spans="1:8" ht="18.75" x14ac:dyDescent="0.2">
      <c r="A1689" s="3" t="str">
        <f t="shared" si="212"/>
        <v>98/11/26</v>
      </c>
      <c r="B1689" s="3" t="str">
        <f t="shared" si="213"/>
        <v>كالاهاي مصرفي</v>
      </c>
      <c r="C1689" s="3" t="str">
        <f>"انبار مركزي ( عمومي )"</f>
        <v>انبار مركزي ( عمومي )</v>
      </c>
      <c r="D1689" s="3" t="str">
        <f>"0211001233"</f>
        <v>0211001233</v>
      </c>
      <c r="E1689" s="3" t="str">
        <f>"باطري  كتابي 9 ولت معمولي"</f>
        <v>باطري  كتابي 9 ولت معمولي</v>
      </c>
      <c r="F1689" s="3" t="str">
        <f>"عدد"</f>
        <v>عدد</v>
      </c>
      <c r="G1689" s="3">
        <v>177</v>
      </c>
      <c r="H1689" s="5">
        <v>19707139</v>
      </c>
    </row>
    <row r="1690" spans="1:8" ht="18.75" x14ac:dyDescent="0.2">
      <c r="A1690" s="3" t="str">
        <f t="shared" si="212"/>
        <v>98/11/26</v>
      </c>
      <c r="B1690" s="3" t="str">
        <f t="shared" si="213"/>
        <v>كالاهاي مصرفي</v>
      </c>
      <c r="C1690" s="3" t="str">
        <f t="shared" ref="C1690:C1713" si="215">"انبار مصرفي ZU1"</f>
        <v>انبار مصرفي ZU1</v>
      </c>
      <c r="D1690" s="3" t="str">
        <f>"0204001847"</f>
        <v>0204001847</v>
      </c>
      <c r="E1690" s="3" t="str">
        <f>"گسكت(واشرابندي) مسلح گرافيتي 5000 ضخامت 2 ميليمتر"</f>
        <v>گسكت(واشرابندي) مسلح گرافيتي 5000 ضخامت 2 ميليمتر</v>
      </c>
      <c r="F1690" s="3" t="str">
        <f>"متر مربع"</f>
        <v>متر مربع</v>
      </c>
      <c r="G1690" s="3">
        <v>9</v>
      </c>
      <c r="H1690" s="5">
        <v>19800000</v>
      </c>
    </row>
    <row r="1691" spans="1:8" ht="18.75" x14ac:dyDescent="0.2">
      <c r="A1691" s="3" t="str">
        <f t="shared" si="212"/>
        <v>98/11/26</v>
      </c>
      <c r="B1691" s="3" t="str">
        <f t="shared" si="213"/>
        <v>كالاهاي مصرفي</v>
      </c>
      <c r="C1691" s="3" t="str">
        <f t="shared" si="215"/>
        <v>انبار مصرفي ZU1</v>
      </c>
      <c r="D1691" s="3" t="str">
        <f>"0106000038"</f>
        <v>0106000038</v>
      </c>
      <c r="E1691" s="3" t="str">
        <f>"روغن shell vitrea 100  بشكه 209 ليتري"</f>
        <v>روغن shell vitrea 100  بشكه 209 ليتري</v>
      </c>
      <c r="F1691" s="3" t="str">
        <f>"بشكه"</f>
        <v>بشكه</v>
      </c>
      <c r="G1691" s="3">
        <v>1.3</v>
      </c>
      <c r="H1691" s="5">
        <v>19892343</v>
      </c>
    </row>
    <row r="1692" spans="1:8" ht="18.75" x14ac:dyDescent="0.2">
      <c r="A1692" s="3" t="str">
        <f t="shared" si="212"/>
        <v>98/11/26</v>
      </c>
      <c r="B1692" s="3" t="str">
        <f t="shared" si="213"/>
        <v>كالاهاي مصرفي</v>
      </c>
      <c r="C1692" s="3" t="str">
        <f t="shared" si="215"/>
        <v>انبار مصرفي ZU1</v>
      </c>
      <c r="D1692" s="3" t="str">
        <f>"0204000252"</f>
        <v>0204000252</v>
      </c>
      <c r="E1692" s="3" t="str">
        <f>"پكينگ آبندي فشاري 20 *20 نخ گرافيت كنف دار"</f>
        <v>پكينگ آبندي فشاري 20 *20 نخ گرافيت كنف دار</v>
      </c>
      <c r="F1692" s="3" t="str">
        <f>"کيلوگرم"</f>
        <v>کيلوگرم</v>
      </c>
      <c r="G1692" s="3">
        <v>80</v>
      </c>
      <c r="H1692" s="5">
        <v>20000000</v>
      </c>
    </row>
    <row r="1693" spans="1:8" ht="18.75" x14ac:dyDescent="0.2">
      <c r="A1693" s="3" t="str">
        <f t="shared" si="212"/>
        <v>98/11/26</v>
      </c>
      <c r="B1693" s="3" t="str">
        <f t="shared" si="213"/>
        <v>كالاهاي مصرفي</v>
      </c>
      <c r="C1693" s="3" t="str">
        <f t="shared" si="215"/>
        <v>انبار مصرفي ZU1</v>
      </c>
      <c r="D1693" s="3" t="str">
        <f>"0204001650"</f>
        <v>0204001650</v>
      </c>
      <c r="E1693" s="3" t="str">
        <f>"بيرينگ 6320"</f>
        <v>بيرينگ 6320</v>
      </c>
      <c r="F1693" s="3" t="str">
        <f>"عدد"</f>
        <v>عدد</v>
      </c>
      <c r="G1693" s="3">
        <v>1</v>
      </c>
      <c r="H1693" s="5">
        <v>20000000</v>
      </c>
    </row>
    <row r="1694" spans="1:8" ht="18.75" x14ac:dyDescent="0.2">
      <c r="A1694" s="3" t="str">
        <f t="shared" si="212"/>
        <v>98/11/26</v>
      </c>
      <c r="B1694" s="3" t="str">
        <f t="shared" si="213"/>
        <v>كالاهاي مصرفي</v>
      </c>
      <c r="C1694" s="3" t="str">
        <f t="shared" si="215"/>
        <v>انبار مصرفي ZU1</v>
      </c>
      <c r="D1694" s="3" t="str">
        <f>"0211001727"</f>
        <v>0211001727</v>
      </c>
      <c r="E1694" s="3" t="str">
        <f>"شيم پليت ضخامت 0/2 به ابعاد200*200"</f>
        <v>شيم پليت ضخامت 0/2 به ابعاد200*200</v>
      </c>
      <c r="F1694" s="3" t="str">
        <f>"عدد"</f>
        <v>عدد</v>
      </c>
      <c r="G1694" s="3">
        <v>52</v>
      </c>
      <c r="H1694" s="5">
        <v>20020000</v>
      </c>
    </row>
    <row r="1695" spans="1:8" ht="18.75" x14ac:dyDescent="0.2">
      <c r="A1695" s="3" t="str">
        <f t="shared" si="212"/>
        <v>98/11/26</v>
      </c>
      <c r="B1695" s="3" t="str">
        <f t="shared" si="213"/>
        <v>كالاهاي مصرفي</v>
      </c>
      <c r="C1695" s="3" t="str">
        <f t="shared" si="215"/>
        <v>انبار مصرفي ZU1</v>
      </c>
      <c r="D1695" s="3" t="str">
        <f>"0204001075"</f>
        <v>0204001075</v>
      </c>
      <c r="E1695" s="3" t="str">
        <f>"تسمه پروانه SPb -2000LP"</f>
        <v>تسمه پروانه SPb -2000LP</v>
      </c>
      <c r="F1695" s="3" t="str">
        <f>"حلقه"</f>
        <v>حلقه</v>
      </c>
      <c r="G1695" s="3">
        <v>29</v>
      </c>
      <c r="H1695" s="5">
        <v>20070000</v>
      </c>
    </row>
    <row r="1696" spans="1:8" ht="18.75" x14ac:dyDescent="0.2">
      <c r="A1696" s="3" t="str">
        <f t="shared" si="212"/>
        <v>98/11/26</v>
      </c>
      <c r="B1696" s="3" t="str">
        <f t="shared" si="213"/>
        <v>كالاهاي مصرفي</v>
      </c>
      <c r="C1696" s="3" t="str">
        <f t="shared" si="215"/>
        <v>انبار مصرفي ZU1</v>
      </c>
      <c r="D1696" s="3" t="str">
        <f>"0206000522"</f>
        <v>0206000522</v>
      </c>
      <c r="E1696" s="3" t="str">
        <f>"لوله پلي اتيلن 250-16 اتمسفر - پي 100"</f>
        <v>لوله پلي اتيلن 250-16 اتمسفر - پي 100</v>
      </c>
      <c r="F1696" s="3" t="str">
        <f>"متر"</f>
        <v>متر</v>
      </c>
      <c r="G1696" s="3">
        <v>12</v>
      </c>
      <c r="H1696" s="5">
        <v>20160000</v>
      </c>
    </row>
    <row r="1697" spans="1:8" ht="18.75" x14ac:dyDescent="0.2">
      <c r="A1697" s="3" t="str">
        <f t="shared" si="212"/>
        <v>98/11/26</v>
      </c>
      <c r="B1697" s="3" t="str">
        <f t="shared" si="213"/>
        <v>كالاهاي مصرفي</v>
      </c>
      <c r="C1697" s="3" t="str">
        <f t="shared" si="215"/>
        <v>انبار مصرفي ZU1</v>
      </c>
      <c r="D1697" s="3" t="str">
        <f>"0105000011"</f>
        <v>0105000011</v>
      </c>
      <c r="E1697" s="3" t="str">
        <f>"چسب مزدا بي رنگ"</f>
        <v>چسب مزدا بي رنگ</v>
      </c>
      <c r="F1697" s="3" t="str">
        <f>"عدد"</f>
        <v>عدد</v>
      </c>
      <c r="G1697" s="3">
        <v>54</v>
      </c>
      <c r="H1697" s="5">
        <v>20184559</v>
      </c>
    </row>
    <row r="1698" spans="1:8" ht="18.75" x14ac:dyDescent="0.2">
      <c r="A1698" s="3" t="str">
        <f t="shared" si="212"/>
        <v>98/11/26</v>
      </c>
      <c r="B1698" s="3" t="str">
        <f t="shared" si="213"/>
        <v>كالاهاي مصرفي</v>
      </c>
      <c r="C1698" s="3" t="str">
        <f t="shared" si="215"/>
        <v>انبار مصرفي ZU1</v>
      </c>
      <c r="D1698" s="3" t="str">
        <f>"0211001741"</f>
        <v>0211001741</v>
      </c>
      <c r="E1698" s="3" t="str">
        <f>"شيم پليت ضخامت 0/5 به ابعاد 100 *100"</f>
        <v>شيم پليت ضخامت 0/5 به ابعاد 100 *100</v>
      </c>
      <c r="F1698" s="3" t="str">
        <f>"عدد"</f>
        <v>عدد</v>
      </c>
      <c r="G1698" s="3">
        <v>70</v>
      </c>
      <c r="H1698" s="5">
        <v>20300000</v>
      </c>
    </row>
    <row r="1699" spans="1:8" ht="18.75" x14ac:dyDescent="0.2">
      <c r="A1699" s="3" t="str">
        <f t="shared" si="212"/>
        <v>98/11/26</v>
      </c>
      <c r="B1699" s="3" t="str">
        <f t="shared" si="213"/>
        <v>كالاهاي مصرفي</v>
      </c>
      <c r="C1699" s="3" t="str">
        <f t="shared" si="215"/>
        <v>انبار مصرفي ZU1</v>
      </c>
      <c r="D1699" s="3" t="str">
        <f>"0204000265"</f>
        <v>0204000265</v>
      </c>
      <c r="E1699" s="3" t="str">
        <f>"پكينگ آبندي فشاري 10 *10 نخ گرافيت ازبست دار"</f>
        <v>پكينگ آبندي فشاري 10 *10 نخ گرافيت ازبست دار</v>
      </c>
      <c r="F1699" s="3" t="str">
        <f>"کيلوگرم"</f>
        <v>کيلوگرم</v>
      </c>
      <c r="G1699" s="3">
        <v>40</v>
      </c>
      <c r="H1699" s="5">
        <v>20400000</v>
      </c>
    </row>
    <row r="1700" spans="1:8" ht="18.75" x14ac:dyDescent="0.2">
      <c r="A1700" s="3" t="str">
        <f t="shared" si="212"/>
        <v>98/11/26</v>
      </c>
      <c r="B1700" s="3" t="str">
        <f t="shared" si="213"/>
        <v>كالاهاي مصرفي</v>
      </c>
      <c r="C1700" s="3" t="str">
        <f t="shared" si="215"/>
        <v>انبار مصرفي ZU1</v>
      </c>
      <c r="D1700" s="3" t="str">
        <f>"0204000601"</f>
        <v>0204000601</v>
      </c>
      <c r="E1700" s="3" t="str">
        <f>"بيرينگ 6219"</f>
        <v>بيرينگ 6219</v>
      </c>
      <c r="F1700" s="3" t="str">
        <f>"عدد"</f>
        <v>عدد</v>
      </c>
      <c r="G1700" s="3">
        <v>2</v>
      </c>
      <c r="H1700" s="5">
        <v>20400000</v>
      </c>
    </row>
    <row r="1701" spans="1:8" ht="18.75" x14ac:dyDescent="0.2">
      <c r="A1701" s="3" t="str">
        <f t="shared" si="212"/>
        <v>98/11/26</v>
      </c>
      <c r="B1701" s="3" t="str">
        <f t="shared" si="213"/>
        <v>كالاهاي مصرفي</v>
      </c>
      <c r="C1701" s="3" t="str">
        <f t="shared" si="215"/>
        <v>انبار مصرفي ZU1</v>
      </c>
      <c r="D1701" s="3" t="str">
        <f>"0204001363"</f>
        <v>0204001363</v>
      </c>
      <c r="E1701" s="3" t="str">
        <f>"اورينگ HNBR 614*8"</f>
        <v>اورينگ HNBR 614*8</v>
      </c>
      <c r="F1701" s="3" t="str">
        <f>"عدد"</f>
        <v>عدد</v>
      </c>
      <c r="G1701" s="3">
        <v>20</v>
      </c>
      <c r="H1701" s="5">
        <v>20520000</v>
      </c>
    </row>
    <row r="1702" spans="1:8" ht="18.75" x14ac:dyDescent="0.2">
      <c r="A1702" s="3" t="str">
        <f t="shared" si="212"/>
        <v>98/11/26</v>
      </c>
      <c r="B1702" s="3" t="str">
        <f t="shared" si="213"/>
        <v>كالاهاي مصرفي</v>
      </c>
      <c r="C1702" s="3" t="str">
        <f t="shared" si="215"/>
        <v>انبار مصرفي ZU1</v>
      </c>
      <c r="D1702" s="3" t="str">
        <f>"0204001106"</f>
        <v>0204001106</v>
      </c>
      <c r="E1702" s="3" t="str">
        <f>"بيرينگ 6316  2Z C4"</f>
        <v>بيرينگ 6316  2Z C4</v>
      </c>
      <c r="F1702" s="3" t="str">
        <f>"عدد"</f>
        <v>عدد</v>
      </c>
      <c r="G1702" s="3">
        <v>9</v>
      </c>
      <c r="H1702" s="5">
        <v>20589231</v>
      </c>
    </row>
    <row r="1703" spans="1:8" ht="18.75" x14ac:dyDescent="0.2">
      <c r="A1703" s="3" t="str">
        <f t="shared" si="212"/>
        <v>98/11/26</v>
      </c>
      <c r="B1703" s="3" t="str">
        <f t="shared" si="213"/>
        <v>كالاهاي مصرفي</v>
      </c>
      <c r="C1703" s="3" t="str">
        <f t="shared" si="215"/>
        <v>انبار مصرفي ZU1</v>
      </c>
      <c r="D1703" s="3" t="str">
        <f>"0204000452"</f>
        <v>0204000452</v>
      </c>
      <c r="E1703" s="3" t="str">
        <f>"گسكت مقاوم به آب داغ و بخار با تراكم 1000 ضخامت 1.5 ميليمتر"</f>
        <v>گسكت مقاوم به آب داغ و بخار با تراكم 1000 ضخامت 1.5 ميليمتر</v>
      </c>
      <c r="F1703" s="3" t="str">
        <f>"متر مربع"</f>
        <v>متر مربع</v>
      </c>
      <c r="G1703" s="3">
        <v>23.5</v>
      </c>
      <c r="H1703" s="5">
        <v>20658782</v>
      </c>
    </row>
    <row r="1704" spans="1:8" ht="18.75" x14ac:dyDescent="0.2">
      <c r="A1704" s="3" t="str">
        <f t="shared" si="212"/>
        <v>98/11/26</v>
      </c>
      <c r="B1704" s="3" t="str">
        <f t="shared" si="213"/>
        <v>كالاهاي مصرفي</v>
      </c>
      <c r="C1704" s="3" t="str">
        <f t="shared" si="215"/>
        <v>انبار مصرفي ZU1</v>
      </c>
      <c r="D1704" s="3" t="str">
        <f>"0213000225"</f>
        <v>0213000225</v>
      </c>
      <c r="E1704" s="3" t="str">
        <f>"مهره M30"</f>
        <v>مهره M30</v>
      </c>
      <c r="F1704" s="3" t="str">
        <f>"عدد"</f>
        <v>عدد</v>
      </c>
      <c r="G1704" s="3">
        <v>655</v>
      </c>
      <c r="H1704" s="5">
        <v>20697657</v>
      </c>
    </row>
    <row r="1705" spans="1:8" ht="18.75" x14ac:dyDescent="0.2">
      <c r="A1705" s="3" t="str">
        <f t="shared" si="212"/>
        <v>98/11/26</v>
      </c>
      <c r="B1705" s="3" t="str">
        <f t="shared" si="213"/>
        <v>كالاهاي مصرفي</v>
      </c>
      <c r="C1705" s="3" t="str">
        <f t="shared" si="215"/>
        <v>انبار مصرفي ZU1</v>
      </c>
      <c r="D1705" s="3" t="str">
        <f>"0204001307"</f>
        <v>0204001307</v>
      </c>
      <c r="E1705" s="3" t="str">
        <f>"اورينگ HNBR 75*3.6"</f>
        <v>اورينگ HNBR 75*3.6</v>
      </c>
      <c r="F1705" s="3" t="str">
        <f>"عدد"</f>
        <v>عدد</v>
      </c>
      <c r="G1705" s="3">
        <v>15</v>
      </c>
      <c r="H1705" s="5">
        <v>20700000</v>
      </c>
    </row>
    <row r="1706" spans="1:8" ht="18.75" x14ac:dyDescent="0.2">
      <c r="A1706" s="3" t="str">
        <f t="shared" si="212"/>
        <v>98/11/26</v>
      </c>
      <c r="B1706" s="3" t="str">
        <f t="shared" si="213"/>
        <v>كالاهاي مصرفي</v>
      </c>
      <c r="C1706" s="3" t="str">
        <f t="shared" si="215"/>
        <v>انبار مصرفي ZU1</v>
      </c>
      <c r="D1706" s="3" t="str">
        <f>"0207000088"</f>
        <v>0207000088</v>
      </c>
      <c r="E1706" s="3" t="str">
        <f>"شيلنگ دو سر مهره پرس شده"</f>
        <v>شيلنگ دو سر مهره پرس شده</v>
      </c>
      <c r="F1706" s="3" t="str">
        <f>"عدد"</f>
        <v>عدد</v>
      </c>
      <c r="G1706" s="3">
        <v>9</v>
      </c>
      <c r="H1706" s="5">
        <v>20700000</v>
      </c>
    </row>
    <row r="1707" spans="1:8" ht="18.75" x14ac:dyDescent="0.2">
      <c r="A1707" s="3" t="str">
        <f t="shared" si="212"/>
        <v>98/11/26</v>
      </c>
      <c r="B1707" s="3" t="str">
        <f t="shared" si="213"/>
        <v>كالاهاي مصرفي</v>
      </c>
      <c r="C1707" s="3" t="str">
        <f t="shared" si="215"/>
        <v>انبار مصرفي ZU1</v>
      </c>
      <c r="D1707" s="3" t="str">
        <f>"0303000260"</f>
        <v>0303000260</v>
      </c>
      <c r="E1707" s="3" t="str">
        <f>"مانومتر(160-0) bar"</f>
        <v>مانومتر(160-0) bar</v>
      </c>
      <c r="F1707" s="3" t="str">
        <f>"دستگاه"</f>
        <v>دستگاه</v>
      </c>
      <c r="G1707" s="3">
        <v>3</v>
      </c>
      <c r="H1707" s="5">
        <v>20700000</v>
      </c>
    </row>
    <row r="1708" spans="1:8" ht="18.75" x14ac:dyDescent="0.2">
      <c r="A1708" s="3" t="str">
        <f t="shared" si="212"/>
        <v>98/11/26</v>
      </c>
      <c r="B1708" s="3" t="str">
        <f t="shared" si="213"/>
        <v>كالاهاي مصرفي</v>
      </c>
      <c r="C1708" s="3" t="str">
        <f t="shared" si="215"/>
        <v>انبار مصرفي ZU1</v>
      </c>
      <c r="D1708" s="3" t="str">
        <f>"0211000359"</f>
        <v>0211000359</v>
      </c>
      <c r="E1708" s="3" t="str">
        <f>"چهار تراش 20 *20 شاخه 2 متري"</f>
        <v>چهار تراش 20 *20 شاخه 2 متري</v>
      </c>
      <c r="F1708" s="3" t="str">
        <f>"شاخه"</f>
        <v>شاخه</v>
      </c>
      <c r="G1708" s="3">
        <v>13</v>
      </c>
      <c r="H1708" s="5">
        <v>20800000</v>
      </c>
    </row>
    <row r="1709" spans="1:8" ht="18.75" x14ac:dyDescent="0.2">
      <c r="A1709" s="3" t="str">
        <f t="shared" si="212"/>
        <v>98/11/26</v>
      </c>
      <c r="B1709" s="3" t="str">
        <f t="shared" si="213"/>
        <v>كالاهاي مصرفي</v>
      </c>
      <c r="C1709" s="3" t="str">
        <f t="shared" si="215"/>
        <v>انبار مصرفي ZU1</v>
      </c>
      <c r="D1709" s="3" t="str">
        <f>"0204001128"</f>
        <v>0204001128</v>
      </c>
      <c r="E1709" s="3" t="str">
        <f>"صفحات لاستيك آببندي مقاوم در مقابل محيط اسيدي،بازي و روغن ضخامت 8"</f>
        <v>صفحات لاستيك آببندي مقاوم در مقابل محيط اسيدي،بازي و روغن ضخامت 8</v>
      </c>
      <c r="F1709" s="3" t="str">
        <f>"متر مربع"</f>
        <v>متر مربع</v>
      </c>
      <c r="G1709" s="3">
        <v>5</v>
      </c>
      <c r="H1709" s="5">
        <v>20880000</v>
      </c>
    </row>
    <row r="1710" spans="1:8" ht="18.75" x14ac:dyDescent="0.2">
      <c r="A1710" s="3" t="str">
        <f t="shared" si="212"/>
        <v>98/11/26</v>
      </c>
      <c r="B1710" s="3" t="str">
        <f t="shared" si="213"/>
        <v>كالاهاي مصرفي</v>
      </c>
      <c r="C1710" s="3" t="str">
        <f t="shared" si="215"/>
        <v>انبار مصرفي ZU1</v>
      </c>
      <c r="D1710" s="3" t="str">
        <f>"0204001640"</f>
        <v>0204001640</v>
      </c>
      <c r="E1710" s="3" t="str">
        <f>"بيرينگ 51315"</f>
        <v>بيرينگ 51315</v>
      </c>
      <c r="F1710" s="3" t="str">
        <f>"عدد"</f>
        <v>عدد</v>
      </c>
      <c r="G1710" s="3">
        <v>6</v>
      </c>
      <c r="H1710" s="5">
        <v>20940000</v>
      </c>
    </row>
    <row r="1711" spans="1:8" ht="18.75" x14ac:dyDescent="0.2">
      <c r="A1711" s="3" t="str">
        <f t="shared" si="212"/>
        <v>98/11/26</v>
      </c>
      <c r="B1711" s="3" t="str">
        <f t="shared" si="213"/>
        <v>كالاهاي مصرفي</v>
      </c>
      <c r="C1711" s="3" t="str">
        <f t="shared" si="215"/>
        <v>انبار مصرفي ZU1</v>
      </c>
      <c r="D1711" s="3" t="str">
        <f>"0204001337"</f>
        <v>0204001337</v>
      </c>
      <c r="E1711" s="3" t="str">
        <f>"اورينگ HNBR 500*4.0"</f>
        <v>اورينگ HNBR 500*4.0</v>
      </c>
      <c r="F1711" s="3" t="str">
        <f>"عدد"</f>
        <v>عدد</v>
      </c>
      <c r="G1711" s="3">
        <v>20</v>
      </c>
      <c r="H1711" s="5">
        <v>20980000</v>
      </c>
    </row>
    <row r="1712" spans="1:8" ht="18.75" x14ac:dyDescent="0.2">
      <c r="A1712" s="3" t="str">
        <f t="shared" si="212"/>
        <v>98/11/26</v>
      </c>
      <c r="B1712" s="3" t="str">
        <f t="shared" si="213"/>
        <v>كالاهاي مصرفي</v>
      </c>
      <c r="C1712" s="3" t="str">
        <f t="shared" si="215"/>
        <v>انبار مصرفي ZU1</v>
      </c>
      <c r="D1712" s="3" t="str">
        <f>"0204001974"</f>
        <v>0204001974</v>
      </c>
      <c r="E1712" s="3" t="str">
        <f>"بوش چدني با قطر داخلي 230 و قطر خارجي 250 و ارتفاع 58 ميليمتر"</f>
        <v>بوش چدني با قطر داخلي 230 و قطر خارجي 250 و ارتفاع 58 ميليمتر</v>
      </c>
      <c r="F1712" s="3" t="str">
        <f>"عدد"</f>
        <v>عدد</v>
      </c>
      <c r="G1712" s="3">
        <v>5</v>
      </c>
      <c r="H1712" s="5">
        <v>21000000</v>
      </c>
    </row>
    <row r="1713" spans="1:8" ht="18.75" x14ac:dyDescent="0.2">
      <c r="A1713" s="3" t="str">
        <f t="shared" si="212"/>
        <v>98/11/26</v>
      </c>
      <c r="B1713" s="3" t="str">
        <f t="shared" si="213"/>
        <v>كالاهاي مصرفي</v>
      </c>
      <c r="C1713" s="3" t="str">
        <f t="shared" si="215"/>
        <v>انبار مصرفي ZU1</v>
      </c>
      <c r="D1713" s="3" t="str">
        <f>"0204002330"</f>
        <v>0204002330</v>
      </c>
      <c r="E1713" s="3" t="str">
        <f>"واشرهاي انتهايي مبدل حرارتي صفحه اي"</f>
        <v>واشرهاي انتهايي مبدل حرارتي صفحه اي</v>
      </c>
      <c r="F1713" s="3" t="str">
        <f>"عدد"</f>
        <v>عدد</v>
      </c>
      <c r="G1713" s="3">
        <v>10</v>
      </c>
      <c r="H1713" s="5">
        <v>21000000</v>
      </c>
    </row>
    <row r="1714" spans="1:8" ht="18.75" x14ac:dyDescent="0.2">
      <c r="A1714" s="3" t="str">
        <f t="shared" si="212"/>
        <v>98/11/26</v>
      </c>
      <c r="B1714" s="3" t="str">
        <f t="shared" si="213"/>
        <v>كالاهاي مصرفي</v>
      </c>
      <c r="C1714" s="3" t="str">
        <f>"انبار مركزي ( عمومي )"</f>
        <v>انبار مركزي ( عمومي )</v>
      </c>
      <c r="D1714" s="3" t="str">
        <f>"0903000139"</f>
        <v>0903000139</v>
      </c>
      <c r="E1714" s="3" t="str">
        <f>"HDD SCSI 15K (هارد)"</f>
        <v>HDD SCSI 15K (هارد)</v>
      </c>
      <c r="F1714" s="3" t="str">
        <f>"عدد"</f>
        <v>عدد</v>
      </c>
      <c r="G1714" s="3">
        <v>3</v>
      </c>
      <c r="H1714" s="5">
        <v>21000000</v>
      </c>
    </row>
    <row r="1715" spans="1:8" ht="18.75" x14ac:dyDescent="0.2">
      <c r="A1715" s="3" t="str">
        <f t="shared" si="212"/>
        <v>98/11/26</v>
      </c>
      <c r="B1715" s="3" t="str">
        <f t="shared" si="213"/>
        <v>كالاهاي مصرفي</v>
      </c>
      <c r="C1715" s="3" t="str">
        <f>"انبار مصرفي ZU1"</f>
        <v>انبار مصرفي ZU1</v>
      </c>
      <c r="D1715" s="3" t="str">
        <f>"0204001017"</f>
        <v>0204001017</v>
      </c>
      <c r="E1715" s="3" t="str">
        <f>"تسمه پروانه SPB 2500"</f>
        <v>تسمه پروانه SPB 2500</v>
      </c>
      <c r="F1715" s="3" t="str">
        <f>"حلقه"</f>
        <v>حلقه</v>
      </c>
      <c r="G1715" s="3">
        <v>34</v>
      </c>
      <c r="H1715" s="5">
        <v>21216000</v>
      </c>
    </row>
    <row r="1716" spans="1:8" ht="18.75" x14ac:dyDescent="0.2">
      <c r="A1716" s="3" t="str">
        <f t="shared" si="212"/>
        <v>98/11/26</v>
      </c>
      <c r="B1716" s="3" t="str">
        <f t="shared" si="213"/>
        <v>كالاهاي مصرفي</v>
      </c>
      <c r="C1716" s="3" t="str">
        <f>"انبار مصرفي ZU1"</f>
        <v>انبار مصرفي ZU1</v>
      </c>
      <c r="D1716" s="3" t="str">
        <f>"0206000210"</f>
        <v>0206000210</v>
      </c>
      <c r="E1716" s="3" t="str">
        <f>"بست كمر بندي پلاستيكي 25 سانتي"</f>
        <v>بست كمر بندي پلاستيكي 25 سانتي</v>
      </c>
      <c r="F1716" s="3" t="str">
        <f>"بسته"</f>
        <v>بسته</v>
      </c>
      <c r="G1716" s="3">
        <v>85</v>
      </c>
      <c r="H1716" s="5">
        <v>21250000</v>
      </c>
    </row>
    <row r="1717" spans="1:8" ht="18.75" x14ac:dyDescent="0.2">
      <c r="A1717" s="3" t="str">
        <f t="shared" si="212"/>
        <v>98/11/26</v>
      </c>
      <c r="B1717" s="3" t="str">
        <f t="shared" si="213"/>
        <v>كالاهاي مصرفي</v>
      </c>
      <c r="C1717" s="3" t="str">
        <f>"انبار مصرفي ZU1"</f>
        <v>انبار مصرفي ZU1</v>
      </c>
      <c r="D1717" s="3" t="str">
        <f>"0204000266"</f>
        <v>0204000266</v>
      </c>
      <c r="E1717" s="3" t="str">
        <f>"پكينگ آبندي فشاري 12 *12 نخ گرافيت ازبست دار"</f>
        <v>پكينگ آبندي فشاري 12 *12 نخ گرافيت ازبست دار</v>
      </c>
      <c r="F1717" s="3" t="str">
        <f>"کيلوگرم"</f>
        <v>کيلوگرم</v>
      </c>
      <c r="G1717" s="3">
        <v>35</v>
      </c>
      <c r="H1717" s="5">
        <v>21350000</v>
      </c>
    </row>
    <row r="1718" spans="1:8" ht="18.75" x14ac:dyDescent="0.2">
      <c r="A1718" s="3" t="str">
        <f t="shared" si="212"/>
        <v>98/11/26</v>
      </c>
      <c r="B1718" s="3" t="str">
        <f t="shared" si="213"/>
        <v>كالاهاي مصرفي</v>
      </c>
      <c r="C1718" s="3" t="str">
        <f>"انبار مركزي ( عمومي )"</f>
        <v>انبار مركزي ( عمومي )</v>
      </c>
      <c r="D1718" s="3" t="str">
        <f>"0213000066"</f>
        <v>0213000066</v>
      </c>
      <c r="E1718" s="3" t="str">
        <f>"صفحه سنگ ديسکي P80 - 115-22.23mm"</f>
        <v>صفحه سنگ ديسکي P80 - 115-22.23mm</v>
      </c>
      <c r="F1718" s="3" t="str">
        <f t="shared" ref="F1718:F1725" si="216">"عدد"</f>
        <v>عدد</v>
      </c>
      <c r="G1718" s="3">
        <v>267</v>
      </c>
      <c r="H1718" s="5">
        <v>21360000</v>
      </c>
    </row>
    <row r="1719" spans="1:8" ht="18.75" x14ac:dyDescent="0.2">
      <c r="A1719" s="3" t="str">
        <f t="shared" si="212"/>
        <v>98/11/26</v>
      </c>
      <c r="B1719" s="3" t="str">
        <f t="shared" si="213"/>
        <v>كالاهاي مصرفي</v>
      </c>
      <c r="C1719" s="3" t="str">
        <f>"انبار مصرفي ZU1"</f>
        <v>انبار مصرفي ZU1</v>
      </c>
      <c r="D1719" s="3" t="str">
        <f>"0213000219"</f>
        <v>0213000219</v>
      </c>
      <c r="E1719" s="3" t="str">
        <f>"پيچ دوسر رزوه M34*160"</f>
        <v>پيچ دوسر رزوه M34*160</v>
      </c>
      <c r="F1719" s="3" t="str">
        <f t="shared" si="216"/>
        <v>عدد</v>
      </c>
      <c r="G1719" s="3">
        <v>100</v>
      </c>
      <c r="H1719" s="5">
        <v>21363000</v>
      </c>
    </row>
    <row r="1720" spans="1:8" ht="18.75" x14ac:dyDescent="0.2">
      <c r="A1720" s="3" t="str">
        <f t="shared" si="212"/>
        <v>98/11/26</v>
      </c>
      <c r="B1720" s="3" t="str">
        <f t="shared" si="213"/>
        <v>كالاهاي مصرفي</v>
      </c>
      <c r="C1720" s="3" t="str">
        <f>"انبار مركزي ( عمومي )"</f>
        <v>انبار مركزي ( عمومي )</v>
      </c>
      <c r="D1720" s="3" t="str">
        <f>"0203000149"</f>
        <v>0203000149</v>
      </c>
      <c r="E1720" s="3" t="str">
        <f>"پيچ گوشتي تخت ( دو سو )"</f>
        <v>پيچ گوشتي تخت ( دو سو )</v>
      </c>
      <c r="F1720" s="3" t="str">
        <f t="shared" si="216"/>
        <v>عدد</v>
      </c>
      <c r="G1720" s="3">
        <v>132</v>
      </c>
      <c r="H1720" s="5">
        <v>21386179</v>
      </c>
    </row>
    <row r="1721" spans="1:8" ht="18.75" x14ac:dyDescent="0.2">
      <c r="A1721" s="3" t="str">
        <f t="shared" si="212"/>
        <v>98/11/26</v>
      </c>
      <c r="B1721" s="3" t="str">
        <f t="shared" si="213"/>
        <v>كالاهاي مصرفي</v>
      </c>
      <c r="C1721" s="3" t="str">
        <f>"انبار مصرفي ZU1"</f>
        <v>انبار مصرفي ZU1</v>
      </c>
      <c r="D1721" s="3" t="str">
        <f>"0209000354"</f>
        <v>0209000354</v>
      </c>
      <c r="E1721" s="3" t="str">
        <f>"واشر خورشيدي پمپ مدار اول مطابق نقشه 1596-01-1073"</f>
        <v>واشر خورشيدي پمپ مدار اول مطابق نقشه 1596-01-1073</v>
      </c>
      <c r="F1721" s="3" t="str">
        <f t="shared" si="216"/>
        <v>عدد</v>
      </c>
      <c r="G1721" s="3">
        <v>30</v>
      </c>
      <c r="H1721" s="5">
        <v>21450000</v>
      </c>
    </row>
    <row r="1722" spans="1:8" ht="18.75" x14ac:dyDescent="0.2">
      <c r="A1722" s="3" t="str">
        <f t="shared" si="212"/>
        <v>98/11/26</v>
      </c>
      <c r="B1722" s="3" t="str">
        <f t="shared" si="213"/>
        <v>كالاهاي مصرفي</v>
      </c>
      <c r="C1722" s="3" t="str">
        <f>"انبار مصرفي ZU1"</f>
        <v>انبار مصرفي ZU1</v>
      </c>
      <c r="D1722" s="3" t="str">
        <f>"0211001746"</f>
        <v>0211001746</v>
      </c>
      <c r="E1722" s="3" t="str">
        <f>"شيم پليت ضخامت 0/7 به ابعاد 100 *100"</f>
        <v>شيم پليت ضخامت 0/7 به ابعاد 100 *100</v>
      </c>
      <c r="F1722" s="3" t="str">
        <f t="shared" si="216"/>
        <v>عدد</v>
      </c>
      <c r="G1722" s="3">
        <v>70</v>
      </c>
      <c r="H1722" s="5">
        <v>21490000</v>
      </c>
    </row>
    <row r="1723" spans="1:8" ht="18.75" x14ac:dyDescent="0.2">
      <c r="A1723" s="3" t="str">
        <f t="shared" si="212"/>
        <v>98/11/26</v>
      </c>
      <c r="B1723" s="3" t="str">
        <f t="shared" si="213"/>
        <v>كالاهاي مصرفي</v>
      </c>
      <c r="C1723" s="3" t="str">
        <f>"انبار مصرفي ZU1"</f>
        <v>انبار مصرفي ZU1</v>
      </c>
      <c r="D1723" s="3" t="str">
        <f>"0209000557"</f>
        <v>0209000557</v>
      </c>
      <c r="E1723" s="3" t="str">
        <f>"فنر آرام بند درب داخلي"</f>
        <v>فنر آرام بند درب داخلي</v>
      </c>
      <c r="F1723" s="3" t="str">
        <f t="shared" si="216"/>
        <v>عدد</v>
      </c>
      <c r="G1723" s="3">
        <v>43</v>
      </c>
      <c r="H1723" s="5">
        <v>21500000</v>
      </c>
    </row>
    <row r="1724" spans="1:8" ht="18.75" x14ac:dyDescent="0.2">
      <c r="A1724" s="3" t="str">
        <f t="shared" si="212"/>
        <v>98/11/26</v>
      </c>
      <c r="B1724" s="3" t="str">
        <f t="shared" si="213"/>
        <v>كالاهاي مصرفي</v>
      </c>
      <c r="C1724" s="3" t="str">
        <f>"انبار مركزي ( عمومي )"</f>
        <v>انبار مركزي ( عمومي )</v>
      </c>
      <c r="D1724" s="3" t="str">
        <f>"0203000095"</f>
        <v>0203000095</v>
      </c>
      <c r="E1724" s="3" t="str">
        <f>"انبر قفلي"</f>
        <v>انبر قفلي</v>
      </c>
      <c r="F1724" s="3" t="str">
        <f t="shared" si="216"/>
        <v>عدد</v>
      </c>
      <c r="G1724" s="3">
        <v>18</v>
      </c>
      <c r="H1724" s="5">
        <v>21538934</v>
      </c>
    </row>
    <row r="1725" spans="1:8" ht="18.75" x14ac:dyDescent="0.2">
      <c r="A1725" s="3" t="str">
        <f t="shared" si="212"/>
        <v>98/11/26</v>
      </c>
      <c r="B1725" s="3" t="str">
        <f t="shared" si="213"/>
        <v>كالاهاي مصرفي</v>
      </c>
      <c r="C1725" s="3" t="str">
        <f t="shared" ref="C1725:C1734" si="217">"انبار مصرفي ZU1"</f>
        <v>انبار مصرفي ZU1</v>
      </c>
      <c r="D1725" s="3" t="str">
        <f>"0204002208"</f>
        <v>0204002208</v>
      </c>
      <c r="E1725" s="3" t="str">
        <f>"بيرينگ C4-6219"</f>
        <v>بيرينگ C4-6219</v>
      </c>
      <c r="F1725" s="3" t="str">
        <f t="shared" si="216"/>
        <v>عدد</v>
      </c>
      <c r="G1725" s="3">
        <v>2</v>
      </c>
      <c r="H1725" s="5">
        <v>21600000</v>
      </c>
    </row>
    <row r="1726" spans="1:8" ht="18.75" x14ac:dyDescent="0.2">
      <c r="A1726" s="3" t="str">
        <f t="shared" si="212"/>
        <v>98/11/26</v>
      </c>
      <c r="B1726" s="3" t="str">
        <f t="shared" si="213"/>
        <v>كالاهاي مصرفي</v>
      </c>
      <c r="C1726" s="3" t="str">
        <f t="shared" si="217"/>
        <v>انبار مصرفي ZU1</v>
      </c>
      <c r="D1726" s="3" t="str">
        <f>"0204001149"</f>
        <v>0204001149</v>
      </c>
      <c r="E1726" s="3" t="str">
        <f>"گسکت گرافيتي ضخامت 6 ميليمتر"</f>
        <v>گسکت گرافيتي ضخامت 6 ميليمتر</v>
      </c>
      <c r="F1726" s="3" t="str">
        <f>"متر مربع"</f>
        <v>متر مربع</v>
      </c>
      <c r="G1726" s="3">
        <v>4.5</v>
      </c>
      <c r="H1726" s="5">
        <v>21645000</v>
      </c>
    </row>
    <row r="1727" spans="1:8" ht="18.75" x14ac:dyDescent="0.2">
      <c r="A1727" s="3" t="str">
        <f t="shared" si="212"/>
        <v>98/11/26</v>
      </c>
      <c r="B1727" s="3" t="str">
        <f t="shared" si="213"/>
        <v>كالاهاي مصرفي</v>
      </c>
      <c r="C1727" s="3" t="str">
        <f t="shared" si="217"/>
        <v>انبار مصرفي ZU1</v>
      </c>
      <c r="D1727" s="3" t="str">
        <f>"0211001751"</f>
        <v>0211001751</v>
      </c>
      <c r="E1727" s="3" t="str">
        <f>"شيم پليت ضخامت 1 به ابعاد 100 *100"</f>
        <v>شيم پليت ضخامت 1 به ابعاد 100 *100</v>
      </c>
      <c r="F1727" s="3" t="str">
        <f>"عدد"</f>
        <v>عدد</v>
      </c>
      <c r="G1727" s="3">
        <v>66</v>
      </c>
      <c r="H1727" s="5">
        <v>21780000</v>
      </c>
    </row>
    <row r="1728" spans="1:8" ht="18.75" x14ac:dyDescent="0.2">
      <c r="A1728" s="3" t="str">
        <f t="shared" si="212"/>
        <v>98/11/26</v>
      </c>
      <c r="B1728" s="3" t="str">
        <f t="shared" si="213"/>
        <v>كالاهاي مصرفي</v>
      </c>
      <c r="C1728" s="3" t="str">
        <f t="shared" si="217"/>
        <v>انبار مصرفي ZU1</v>
      </c>
      <c r="D1728" s="3" t="str">
        <f>"0106000145"</f>
        <v>0106000145</v>
      </c>
      <c r="E1728" s="3" t="str">
        <f>"روغن 20 ليتري ( shell turbo T 32 )"</f>
        <v>روغن 20 ليتري ( shell turbo T 32 )</v>
      </c>
      <c r="F1728" s="3" t="str">
        <f>"گالن"</f>
        <v>گالن</v>
      </c>
      <c r="G1728" s="3">
        <v>8</v>
      </c>
      <c r="H1728" s="5">
        <v>21800000</v>
      </c>
    </row>
    <row r="1729" spans="1:8" ht="18.75" x14ac:dyDescent="0.2">
      <c r="A1729" s="3" t="str">
        <f t="shared" si="212"/>
        <v>98/11/26</v>
      </c>
      <c r="B1729" s="3" t="str">
        <f t="shared" si="213"/>
        <v>كالاهاي مصرفي</v>
      </c>
      <c r="C1729" s="3" t="str">
        <f t="shared" si="217"/>
        <v>انبار مصرفي ZU1</v>
      </c>
      <c r="D1729" s="3" t="str">
        <f>"0106000151"</f>
        <v>0106000151</v>
      </c>
      <c r="E1729" s="3" t="str">
        <f>"روغن Shell Omala 680  سطل 20 ليتري"</f>
        <v>روغن Shell Omala 680  سطل 20 ليتري</v>
      </c>
      <c r="F1729" s="3" t="str">
        <f>"گالن"</f>
        <v>گالن</v>
      </c>
      <c r="G1729" s="3">
        <v>6</v>
      </c>
      <c r="H1729" s="5">
        <v>21850000</v>
      </c>
    </row>
    <row r="1730" spans="1:8" ht="18.75" x14ac:dyDescent="0.2">
      <c r="A1730" s="3" t="str">
        <f t="shared" ref="A1730:A1793" si="218">"98/11/26"</f>
        <v>98/11/26</v>
      </c>
      <c r="B1730" s="3" t="str">
        <f t="shared" ref="B1730:B1793" si="219">"كالاهاي مصرفي"</f>
        <v>كالاهاي مصرفي</v>
      </c>
      <c r="C1730" s="3" t="str">
        <f t="shared" si="217"/>
        <v>انبار مصرفي ZU1</v>
      </c>
      <c r="D1730" s="3" t="str">
        <f>"0204000484"</f>
        <v>0204000484</v>
      </c>
      <c r="E1730" s="3" t="str">
        <f>"صفحات لاستيك آببندي مقاوم در مقابل مواد نفتي ضخامت 2"</f>
        <v>صفحات لاستيك آببندي مقاوم در مقابل مواد نفتي ضخامت 2</v>
      </c>
      <c r="F1730" s="3" t="str">
        <f>"کيلوگرم"</f>
        <v>کيلوگرم</v>
      </c>
      <c r="G1730" s="3">
        <v>87.7</v>
      </c>
      <c r="H1730" s="5">
        <v>21853188</v>
      </c>
    </row>
    <row r="1731" spans="1:8" ht="18.75" x14ac:dyDescent="0.2">
      <c r="A1731" s="3" t="str">
        <f t="shared" si="218"/>
        <v>98/11/26</v>
      </c>
      <c r="B1731" s="3" t="str">
        <f t="shared" si="219"/>
        <v>كالاهاي مصرفي</v>
      </c>
      <c r="C1731" s="3" t="str">
        <f t="shared" si="217"/>
        <v>انبار مصرفي ZU1</v>
      </c>
      <c r="D1731" s="3" t="str">
        <f>"0204000344"</f>
        <v>0204000344</v>
      </c>
      <c r="E1731" s="3" t="str">
        <f>"بيرينگ Nu2224-ECML/C"</f>
        <v>بيرينگ Nu2224-ECML/C</v>
      </c>
      <c r="F1731" s="3" t="str">
        <f>"عدد"</f>
        <v>عدد</v>
      </c>
      <c r="G1731" s="3">
        <v>1</v>
      </c>
      <c r="H1731" s="5">
        <v>22000000</v>
      </c>
    </row>
    <row r="1732" spans="1:8" ht="18.75" x14ac:dyDescent="0.2">
      <c r="A1732" s="3" t="str">
        <f t="shared" si="218"/>
        <v>98/11/26</v>
      </c>
      <c r="B1732" s="3" t="str">
        <f t="shared" si="219"/>
        <v>كالاهاي مصرفي</v>
      </c>
      <c r="C1732" s="3" t="str">
        <f t="shared" si="217"/>
        <v>انبار مصرفي ZU1</v>
      </c>
      <c r="D1732" s="3" t="str">
        <f>"0204002175"</f>
        <v>0204002175</v>
      </c>
      <c r="E1732" s="3" t="str">
        <f>"بيرينگ 16024A"</f>
        <v>بيرينگ 16024A</v>
      </c>
      <c r="F1732" s="3" t="str">
        <f>"عدد"</f>
        <v>عدد</v>
      </c>
      <c r="G1732" s="3">
        <v>2</v>
      </c>
      <c r="H1732" s="5">
        <v>22000000</v>
      </c>
    </row>
    <row r="1733" spans="1:8" ht="18.75" x14ac:dyDescent="0.2">
      <c r="A1733" s="3" t="str">
        <f t="shared" si="218"/>
        <v>98/11/26</v>
      </c>
      <c r="B1733" s="3" t="str">
        <f t="shared" si="219"/>
        <v>كالاهاي مصرفي</v>
      </c>
      <c r="C1733" s="3" t="str">
        <f t="shared" si="217"/>
        <v>انبار مصرفي ZU1</v>
      </c>
      <c r="D1733" s="3" t="str">
        <f>"0206000521"</f>
        <v>0206000521</v>
      </c>
      <c r="E1733" s="3" t="str">
        <f>"لوله پلي اتيلن 315 -16 اتمسفر - پي 100"</f>
        <v>لوله پلي اتيلن 315 -16 اتمسفر - پي 100</v>
      </c>
      <c r="F1733" s="3" t="str">
        <f>"متر"</f>
        <v>متر</v>
      </c>
      <c r="G1733" s="3">
        <v>10</v>
      </c>
      <c r="H1733" s="5">
        <v>22000000</v>
      </c>
    </row>
    <row r="1734" spans="1:8" ht="18.75" x14ac:dyDescent="0.2">
      <c r="A1734" s="3" t="str">
        <f t="shared" si="218"/>
        <v>98/11/26</v>
      </c>
      <c r="B1734" s="3" t="str">
        <f t="shared" si="219"/>
        <v>كالاهاي مصرفي</v>
      </c>
      <c r="C1734" s="3" t="str">
        <f t="shared" si="217"/>
        <v>انبار مصرفي ZU1</v>
      </c>
      <c r="D1734" s="3" t="str">
        <f>"0215000198"</f>
        <v>0215000198</v>
      </c>
      <c r="E1734" s="3" t="str">
        <f>"فيژلتر روغن RM11,12,13N002"</f>
        <v>فيژلتر روغن RM11,12,13N002</v>
      </c>
      <c r="F1734" s="3" t="str">
        <f>"عدد"</f>
        <v>عدد</v>
      </c>
      <c r="G1734" s="3">
        <v>5</v>
      </c>
      <c r="H1734" s="5">
        <v>22000000</v>
      </c>
    </row>
    <row r="1735" spans="1:8" ht="18.75" x14ac:dyDescent="0.2">
      <c r="A1735" s="3" t="str">
        <f t="shared" si="218"/>
        <v>98/11/26</v>
      </c>
      <c r="B1735" s="3" t="str">
        <f t="shared" si="219"/>
        <v>كالاهاي مصرفي</v>
      </c>
      <c r="C1735" s="3" t="str">
        <f>"انبار مركزي ( عمومي )"</f>
        <v>انبار مركزي ( عمومي )</v>
      </c>
      <c r="D1735" s="3" t="str">
        <f>"0903000085"</f>
        <v>0903000085</v>
      </c>
      <c r="E1735" s="3" t="str">
        <f>"CISCO GLC-SX-MM(SX-MM"</f>
        <v>CISCO GLC-SX-MM(SX-MM</v>
      </c>
      <c r="F1735" s="3" t="str">
        <f>"عدد"</f>
        <v>عدد</v>
      </c>
      <c r="G1735" s="3">
        <v>10</v>
      </c>
      <c r="H1735" s="5">
        <v>22000000</v>
      </c>
    </row>
    <row r="1736" spans="1:8" ht="18.75" x14ac:dyDescent="0.2">
      <c r="A1736" s="3" t="str">
        <f t="shared" si="218"/>
        <v>98/11/26</v>
      </c>
      <c r="B1736" s="3" t="str">
        <f t="shared" si="219"/>
        <v>كالاهاي مصرفي</v>
      </c>
      <c r="C1736" s="3" t="str">
        <f t="shared" ref="C1736:C1742" si="220">"انبار مصرفي ZU1"</f>
        <v>انبار مصرفي ZU1</v>
      </c>
      <c r="D1736" s="3" t="str">
        <f>"0106000224"</f>
        <v>0106000224</v>
      </c>
      <c r="E1736" s="3" t="str">
        <f>"گريس alvania HD2  سطل 18 كيلويي"</f>
        <v>گريس alvania HD2  سطل 18 كيلويي</v>
      </c>
      <c r="F1736" s="3" t="str">
        <f>"سطل"</f>
        <v>سطل</v>
      </c>
      <c r="G1736" s="3">
        <v>6</v>
      </c>
      <c r="H1736" s="5">
        <v>22200000</v>
      </c>
    </row>
    <row r="1737" spans="1:8" ht="18.75" x14ac:dyDescent="0.2">
      <c r="A1737" s="3" t="str">
        <f t="shared" si="218"/>
        <v>98/11/26</v>
      </c>
      <c r="B1737" s="3" t="str">
        <f t="shared" si="219"/>
        <v>كالاهاي مصرفي</v>
      </c>
      <c r="C1737" s="3" t="str">
        <f t="shared" si="220"/>
        <v>انبار مصرفي ZU1</v>
      </c>
      <c r="D1737" s="3" t="str">
        <f>"0211000649"</f>
        <v>0211000649</v>
      </c>
      <c r="E1737" s="3" t="str">
        <f>"دستمال حوله اي بسته اي (پارچه زنبوري 2 *1)"</f>
        <v>دستمال حوله اي بسته اي (پارچه زنبوري 2 *1)</v>
      </c>
      <c r="F1737" s="3" t="str">
        <f>"بسته"</f>
        <v>بسته</v>
      </c>
      <c r="G1737" s="3">
        <v>61</v>
      </c>
      <c r="H1737" s="5">
        <v>22265000</v>
      </c>
    </row>
    <row r="1738" spans="1:8" ht="18.75" x14ac:dyDescent="0.2">
      <c r="A1738" s="3" t="str">
        <f t="shared" si="218"/>
        <v>98/11/26</v>
      </c>
      <c r="B1738" s="3" t="str">
        <f t="shared" si="219"/>
        <v>كالاهاي مصرفي</v>
      </c>
      <c r="C1738" s="3" t="str">
        <f t="shared" si="220"/>
        <v>انبار مصرفي ZU1</v>
      </c>
      <c r="D1738" s="3" t="str">
        <f>"0204001921"</f>
        <v>0204001921</v>
      </c>
      <c r="E1738" s="3" t="s">
        <v>6</v>
      </c>
      <c r="F1738" s="3" t="s">
        <v>0</v>
      </c>
      <c r="G1738" s="3">
        <v>9</v>
      </c>
      <c r="H1738" s="5">
        <v>22320000</v>
      </c>
    </row>
    <row r="1739" spans="1:8" ht="18.75" x14ac:dyDescent="0.2">
      <c r="A1739" s="3" t="str">
        <f t="shared" si="218"/>
        <v>98/11/26</v>
      </c>
      <c r="B1739" s="3" t="str">
        <f t="shared" si="219"/>
        <v>كالاهاي مصرفي</v>
      </c>
      <c r="C1739" s="3" t="str">
        <f t="shared" si="220"/>
        <v>انبار مصرفي ZU1</v>
      </c>
      <c r="D1739" s="3" t="str">
        <f>"0204000463"</f>
        <v>0204000463</v>
      </c>
      <c r="E1739" s="3" t="str">
        <f>"گسكت مقاوم به اسيد و روغن 0.5"</f>
        <v>گسكت مقاوم به اسيد و روغن 0.5</v>
      </c>
      <c r="F1739" s="3" t="str">
        <f>"متر مربع"</f>
        <v>متر مربع</v>
      </c>
      <c r="G1739" s="3">
        <v>16</v>
      </c>
      <c r="H1739" s="5">
        <v>22400000</v>
      </c>
    </row>
    <row r="1740" spans="1:8" ht="18.75" x14ac:dyDescent="0.2">
      <c r="A1740" s="3" t="str">
        <f t="shared" si="218"/>
        <v>98/11/26</v>
      </c>
      <c r="B1740" s="3" t="str">
        <f t="shared" si="219"/>
        <v>كالاهاي مصرفي</v>
      </c>
      <c r="C1740" s="3" t="str">
        <f t="shared" si="220"/>
        <v>انبار مصرفي ZU1</v>
      </c>
      <c r="D1740" s="3" t="str">
        <f>"0214000395"</f>
        <v>0214000395</v>
      </c>
      <c r="E1740" s="3" t="str">
        <f>"شافت تفلون سفيد سخت D:120"</f>
        <v>شافت تفلون سفيد سخت D:120</v>
      </c>
      <c r="F1740" s="3" t="str">
        <f>"متر"</f>
        <v>متر</v>
      </c>
      <c r="G1740" s="3">
        <v>1.5</v>
      </c>
      <c r="H1740" s="5">
        <v>22400000</v>
      </c>
    </row>
    <row r="1741" spans="1:8" ht="18.75" x14ac:dyDescent="0.2">
      <c r="A1741" s="3" t="str">
        <f t="shared" si="218"/>
        <v>98/11/26</v>
      </c>
      <c r="B1741" s="3" t="str">
        <f t="shared" si="219"/>
        <v>كالاهاي مصرفي</v>
      </c>
      <c r="C1741" s="3" t="str">
        <f t="shared" si="220"/>
        <v>انبار مصرفي ZU1</v>
      </c>
      <c r="D1741" s="3" t="str">
        <f>"0204001000"</f>
        <v>0204001000</v>
      </c>
      <c r="E1741" s="3" t="str">
        <f>"بيرينگ 6214 2RS"</f>
        <v>بيرينگ 6214 2RS</v>
      </c>
      <c r="F1741" s="3" t="str">
        <f>"عدد"</f>
        <v>عدد</v>
      </c>
      <c r="G1741" s="3">
        <v>20</v>
      </c>
      <c r="H1741" s="5">
        <v>22402381</v>
      </c>
    </row>
    <row r="1742" spans="1:8" ht="18.75" x14ac:dyDescent="0.2">
      <c r="A1742" s="3" t="str">
        <f t="shared" si="218"/>
        <v>98/11/26</v>
      </c>
      <c r="B1742" s="3" t="str">
        <f t="shared" si="219"/>
        <v>كالاهاي مصرفي</v>
      </c>
      <c r="C1742" s="3" t="str">
        <f t="shared" si="220"/>
        <v>انبار مصرفي ZU1</v>
      </c>
      <c r="D1742" s="3" t="str">
        <f>"0204001929"</f>
        <v>0204001929</v>
      </c>
      <c r="E1742" s="3" t="str">
        <f>"NU222 ECML/C3بيرينگ"</f>
        <v>NU222 ECML/C3بيرينگ</v>
      </c>
      <c r="F1742" s="3" t="str">
        <f>"عدد"</f>
        <v>عدد</v>
      </c>
      <c r="G1742" s="3">
        <v>3</v>
      </c>
      <c r="H1742" s="5">
        <v>22440000</v>
      </c>
    </row>
    <row r="1743" spans="1:8" ht="18.75" x14ac:dyDescent="0.2">
      <c r="A1743" s="3" t="str">
        <f t="shared" si="218"/>
        <v>98/11/26</v>
      </c>
      <c r="B1743" s="3" t="str">
        <f t="shared" si="219"/>
        <v>كالاهاي مصرفي</v>
      </c>
      <c r="C1743" s="3" t="str">
        <f>"انبار مركزي ( عمومي )"</f>
        <v>انبار مركزي ( عمومي )</v>
      </c>
      <c r="D1743" s="3" t="str">
        <f>"0203000002"</f>
        <v>0203000002</v>
      </c>
      <c r="E1743" s="3" t="str">
        <f>"آچار لوله گير كلاغي 3 اينچ"</f>
        <v>آچار لوله گير كلاغي 3 اينچ</v>
      </c>
      <c r="F1743" s="3" t="str">
        <f>"عدد"</f>
        <v>عدد</v>
      </c>
      <c r="G1743" s="3">
        <v>5</v>
      </c>
      <c r="H1743" s="5">
        <v>22500000</v>
      </c>
    </row>
    <row r="1744" spans="1:8" ht="18.75" x14ac:dyDescent="0.2">
      <c r="A1744" s="3" t="str">
        <f t="shared" si="218"/>
        <v>98/11/26</v>
      </c>
      <c r="B1744" s="3" t="str">
        <f t="shared" si="219"/>
        <v>كالاهاي مصرفي</v>
      </c>
      <c r="C1744" s="3" t="str">
        <f t="shared" ref="C1744:C1749" si="221">"انبار مصرفي ZU1"</f>
        <v>انبار مصرفي ZU1</v>
      </c>
      <c r="D1744" s="3" t="str">
        <f>"0204002151"</f>
        <v>0204002151</v>
      </c>
      <c r="E1744" s="3" t="str">
        <f>"تسمه پروانه SPB -2650"</f>
        <v>تسمه پروانه SPB -2650</v>
      </c>
      <c r="F1744" s="3" t="str">
        <f>"حلقه"</f>
        <v>حلقه</v>
      </c>
      <c r="G1744" s="3">
        <v>30</v>
      </c>
      <c r="H1744" s="5">
        <v>22500000</v>
      </c>
    </row>
    <row r="1745" spans="1:8" ht="18.75" x14ac:dyDescent="0.2">
      <c r="A1745" s="3" t="str">
        <f t="shared" si="218"/>
        <v>98/11/26</v>
      </c>
      <c r="B1745" s="3" t="str">
        <f t="shared" si="219"/>
        <v>كالاهاي مصرفي</v>
      </c>
      <c r="C1745" s="3" t="str">
        <f t="shared" si="221"/>
        <v>انبار مصرفي ZU1</v>
      </c>
      <c r="D1745" s="3" t="str">
        <f>"0209000344"</f>
        <v>0209000344</v>
      </c>
      <c r="E1745" s="3" t="str">
        <f>"ضربه گير لاستيکي استوانه اي سايز کوچک فيلتر VA"</f>
        <v>ضربه گير لاستيکي استوانه اي سايز کوچک فيلتر VA</v>
      </c>
      <c r="F1745" s="3" t="str">
        <f>"عدد"</f>
        <v>عدد</v>
      </c>
      <c r="G1745" s="3">
        <v>50</v>
      </c>
      <c r="H1745" s="5">
        <v>22500000</v>
      </c>
    </row>
    <row r="1746" spans="1:8" ht="18.75" x14ac:dyDescent="0.2">
      <c r="A1746" s="3" t="str">
        <f t="shared" si="218"/>
        <v>98/11/26</v>
      </c>
      <c r="B1746" s="3" t="str">
        <f t="shared" si="219"/>
        <v>كالاهاي مصرفي</v>
      </c>
      <c r="C1746" s="3" t="str">
        <f t="shared" si="221"/>
        <v>انبار مصرفي ZU1</v>
      </c>
      <c r="D1746" s="3" t="str">
        <f>"1002000220"</f>
        <v>1002000220</v>
      </c>
      <c r="E1746" s="3" t="str">
        <f>"چرخ دنده گيربكس ولو"</f>
        <v>چرخ دنده گيربكس ولو</v>
      </c>
      <c r="F1746" s="3" t="str">
        <f>"عدد"</f>
        <v>عدد</v>
      </c>
      <c r="G1746" s="3">
        <v>3</v>
      </c>
      <c r="H1746" s="5">
        <v>22500000</v>
      </c>
    </row>
    <row r="1747" spans="1:8" ht="18.75" x14ac:dyDescent="0.2">
      <c r="A1747" s="3" t="str">
        <f t="shared" si="218"/>
        <v>98/11/26</v>
      </c>
      <c r="B1747" s="3" t="str">
        <f t="shared" si="219"/>
        <v>كالاهاي مصرفي</v>
      </c>
      <c r="C1747" s="3" t="str">
        <f t="shared" si="221"/>
        <v>انبار مصرفي ZU1</v>
      </c>
      <c r="D1747" s="3" t="str">
        <f>"0204001763"</f>
        <v>0204001763</v>
      </c>
      <c r="E1747" s="3" t="str">
        <f>"اورينگ HNBR ضخامت 2 ميليمتر"</f>
        <v>اورينگ HNBR ضخامت 2 ميليمتر</v>
      </c>
      <c r="F1747" s="3" t="str">
        <f>"متر"</f>
        <v>متر</v>
      </c>
      <c r="G1747" s="3">
        <v>50</v>
      </c>
      <c r="H1747" s="5">
        <v>22550000</v>
      </c>
    </row>
    <row r="1748" spans="1:8" ht="18.75" x14ac:dyDescent="0.2">
      <c r="A1748" s="3" t="str">
        <f t="shared" si="218"/>
        <v>98/11/26</v>
      </c>
      <c r="B1748" s="3" t="str">
        <f t="shared" si="219"/>
        <v>كالاهاي مصرفي</v>
      </c>
      <c r="C1748" s="3" t="str">
        <f t="shared" si="221"/>
        <v>انبار مصرفي ZU1</v>
      </c>
      <c r="D1748" s="3" t="str">
        <f>"0211000658"</f>
        <v>0211000658</v>
      </c>
      <c r="E1748" s="3" t="str">
        <f>"كابل جوشكاري"</f>
        <v>كابل جوشكاري</v>
      </c>
      <c r="F1748" s="3" t="str">
        <f>"متر"</f>
        <v>متر</v>
      </c>
      <c r="G1748" s="3">
        <v>200</v>
      </c>
      <c r="H1748" s="5">
        <v>22600000</v>
      </c>
    </row>
    <row r="1749" spans="1:8" ht="18.75" x14ac:dyDescent="0.2">
      <c r="A1749" s="3" t="str">
        <f t="shared" si="218"/>
        <v>98/11/26</v>
      </c>
      <c r="B1749" s="3" t="str">
        <f t="shared" si="219"/>
        <v>كالاهاي مصرفي</v>
      </c>
      <c r="C1749" s="3" t="str">
        <f t="shared" si="221"/>
        <v>انبار مصرفي ZU1</v>
      </c>
      <c r="D1749" s="3" t="str">
        <f>"0211001732"</f>
        <v>0211001732</v>
      </c>
      <c r="E1749" s="3" t="str">
        <f>"شيم پليت ضخامت 0/25 به ابعاد200*200"</f>
        <v>شيم پليت ضخامت 0/25 به ابعاد200*200</v>
      </c>
      <c r="F1749" s="3" t="str">
        <f t="shared" ref="F1749:F1754" si="222">"عدد"</f>
        <v>عدد</v>
      </c>
      <c r="G1749" s="3">
        <v>56</v>
      </c>
      <c r="H1749" s="5">
        <v>22680000</v>
      </c>
    </row>
    <row r="1750" spans="1:8" ht="18.75" x14ac:dyDescent="0.2">
      <c r="A1750" s="3" t="str">
        <f t="shared" si="218"/>
        <v>98/11/26</v>
      </c>
      <c r="B1750" s="3" t="str">
        <f t="shared" si="219"/>
        <v>كالاهاي مصرفي</v>
      </c>
      <c r="C1750" s="3" t="str">
        <f>"انبار مركزي ( عمومي )"</f>
        <v>انبار مركزي ( عمومي )</v>
      </c>
      <c r="D1750" s="3" t="str">
        <f>"0903000050"</f>
        <v>0903000050</v>
      </c>
      <c r="E1750" s="3" t="str">
        <f>"KeyStone Cat6"</f>
        <v>KeyStone Cat6</v>
      </c>
      <c r="F1750" s="3" t="str">
        <f t="shared" si="222"/>
        <v>عدد</v>
      </c>
      <c r="G1750" s="3">
        <v>99</v>
      </c>
      <c r="H1750" s="5">
        <v>22770000</v>
      </c>
    </row>
    <row r="1751" spans="1:8" ht="18.75" x14ac:dyDescent="0.2">
      <c r="A1751" s="3" t="str">
        <f t="shared" si="218"/>
        <v>98/11/26</v>
      </c>
      <c r="B1751" s="3" t="str">
        <f t="shared" si="219"/>
        <v>كالاهاي مصرفي</v>
      </c>
      <c r="C1751" s="3" t="str">
        <f t="shared" ref="C1751:C1762" si="223">"انبار مصرفي ZU1"</f>
        <v>انبار مصرفي ZU1</v>
      </c>
      <c r="D1751" s="3" t="str">
        <f>"0204001966"</f>
        <v>0204001966</v>
      </c>
      <c r="E1751" s="3" t="str">
        <f>"بوش چدني با قطر داخلي 170 و قطر خارجي 190 و ارتفاع 40 ميليمتر"</f>
        <v>بوش چدني با قطر داخلي 170 و قطر خارجي 190 و ارتفاع 40 ميليمتر</v>
      </c>
      <c r="F1751" s="3" t="str">
        <f t="shared" si="222"/>
        <v>عدد</v>
      </c>
      <c r="G1751" s="3">
        <v>6</v>
      </c>
      <c r="H1751" s="5">
        <v>22800000</v>
      </c>
    </row>
    <row r="1752" spans="1:8" ht="18.75" x14ac:dyDescent="0.2">
      <c r="A1752" s="3" t="str">
        <f t="shared" si="218"/>
        <v>98/11/26</v>
      </c>
      <c r="B1752" s="3" t="str">
        <f t="shared" si="219"/>
        <v>كالاهاي مصرفي</v>
      </c>
      <c r="C1752" s="3" t="str">
        <f t="shared" si="223"/>
        <v>انبار مصرفي ZU1</v>
      </c>
      <c r="D1752" s="3" t="str">
        <f>"0204001968"</f>
        <v>0204001968</v>
      </c>
      <c r="E1752" s="3" t="str">
        <f>"بوش چدني با قطر داخلي 170 و قطر خارجي 190 و ارتفاع 74 ميليمتر"</f>
        <v>بوش چدني با قطر داخلي 170 و قطر خارجي 190 و ارتفاع 74 ميليمتر</v>
      </c>
      <c r="F1752" s="3" t="str">
        <f t="shared" si="222"/>
        <v>عدد</v>
      </c>
      <c r="G1752" s="3">
        <v>6</v>
      </c>
      <c r="H1752" s="5">
        <v>22800000</v>
      </c>
    </row>
    <row r="1753" spans="1:8" ht="18.75" x14ac:dyDescent="0.2">
      <c r="A1753" s="3" t="str">
        <f t="shared" si="218"/>
        <v>98/11/26</v>
      </c>
      <c r="B1753" s="3" t="str">
        <f t="shared" si="219"/>
        <v>كالاهاي مصرفي</v>
      </c>
      <c r="C1753" s="3" t="str">
        <f t="shared" si="223"/>
        <v>انبار مصرفي ZU1</v>
      </c>
      <c r="D1753" s="3" t="str">
        <f>"0207000080"</f>
        <v>0207000080</v>
      </c>
      <c r="E1753" s="3" t="str">
        <f>"شيلنگ انعطاف پذيرفلزي DN=100mm L=1000mm"</f>
        <v>شيلنگ انعطاف پذيرفلزي DN=100mm L=1000mm</v>
      </c>
      <c r="F1753" s="3" t="str">
        <f t="shared" si="222"/>
        <v>عدد</v>
      </c>
      <c r="G1753" s="3">
        <v>3</v>
      </c>
      <c r="H1753" s="5">
        <v>22800000</v>
      </c>
    </row>
    <row r="1754" spans="1:8" ht="18.75" x14ac:dyDescent="0.2">
      <c r="A1754" s="3" t="str">
        <f t="shared" si="218"/>
        <v>98/11/26</v>
      </c>
      <c r="B1754" s="3" t="str">
        <f t="shared" si="219"/>
        <v>كالاهاي مصرفي</v>
      </c>
      <c r="C1754" s="3" t="str">
        <f t="shared" si="223"/>
        <v>انبار مصرفي ZU1</v>
      </c>
      <c r="D1754" s="3" t="str">
        <f>"0204000405"</f>
        <v>0204000405</v>
      </c>
      <c r="E1754" s="3" t="str">
        <f>"بيرينگ 2Z/C3-6217"</f>
        <v>بيرينگ 2Z/C3-6217</v>
      </c>
      <c r="F1754" s="3" t="str">
        <f t="shared" si="222"/>
        <v>عدد</v>
      </c>
      <c r="G1754" s="3">
        <v>9</v>
      </c>
      <c r="H1754" s="5">
        <v>22950000</v>
      </c>
    </row>
    <row r="1755" spans="1:8" ht="18.75" x14ac:dyDescent="0.2">
      <c r="A1755" s="3" t="str">
        <f t="shared" si="218"/>
        <v>98/11/26</v>
      </c>
      <c r="B1755" s="3" t="str">
        <f t="shared" si="219"/>
        <v>كالاهاي مصرفي</v>
      </c>
      <c r="C1755" s="3" t="str">
        <f t="shared" si="223"/>
        <v>انبار مصرفي ZU1</v>
      </c>
      <c r="D1755" s="3" t="str">
        <f>"0204001019"</f>
        <v>0204001019</v>
      </c>
      <c r="E1755" s="3" t="str">
        <f>"تسمه پروانه SPB 3150"</f>
        <v>تسمه پروانه SPB 3150</v>
      </c>
      <c r="F1755" s="3" t="str">
        <f>"حلقه"</f>
        <v>حلقه</v>
      </c>
      <c r="G1755" s="3">
        <v>29</v>
      </c>
      <c r="H1755" s="5">
        <v>22968000</v>
      </c>
    </row>
    <row r="1756" spans="1:8" ht="18.75" x14ac:dyDescent="0.2">
      <c r="A1756" s="3" t="str">
        <f t="shared" si="218"/>
        <v>98/11/26</v>
      </c>
      <c r="B1756" s="3" t="str">
        <f t="shared" si="219"/>
        <v>كالاهاي مصرفي</v>
      </c>
      <c r="C1756" s="3" t="str">
        <f t="shared" si="223"/>
        <v>انبار مصرفي ZU1</v>
      </c>
      <c r="D1756" s="3" t="str">
        <f>"0213000141"</f>
        <v>0213000141</v>
      </c>
      <c r="E1756" s="3" t="str">
        <f>"پيچ M16*40"</f>
        <v>پيچ M16*40</v>
      </c>
      <c r="F1756" s="3" t="str">
        <f>"عدد"</f>
        <v>عدد</v>
      </c>
      <c r="G1756" s="3">
        <v>1595</v>
      </c>
      <c r="H1756" s="5">
        <v>22972055</v>
      </c>
    </row>
    <row r="1757" spans="1:8" ht="18.75" x14ac:dyDescent="0.2">
      <c r="A1757" s="3" t="str">
        <f t="shared" si="218"/>
        <v>98/11/26</v>
      </c>
      <c r="B1757" s="3" t="str">
        <f t="shared" si="219"/>
        <v>كالاهاي مصرفي</v>
      </c>
      <c r="C1757" s="3" t="str">
        <f t="shared" si="223"/>
        <v>انبار مصرفي ZU1</v>
      </c>
      <c r="D1757" s="3" t="str">
        <f>"0106000046"</f>
        <v>0106000046</v>
      </c>
      <c r="E1757" s="3" t="str">
        <f>"روغن shell vetrea 100  ‎ً گالن 20 ليتري"</f>
        <v>روغن shell vetrea 100  ‎ً گالن 20 ليتري</v>
      </c>
      <c r="F1757" s="3" t="str">
        <f>"گالن"</f>
        <v>گالن</v>
      </c>
      <c r="G1757" s="3">
        <v>5</v>
      </c>
      <c r="H1757" s="5">
        <v>23000000</v>
      </c>
    </row>
    <row r="1758" spans="1:8" ht="18.75" x14ac:dyDescent="0.2">
      <c r="A1758" s="3" t="str">
        <f t="shared" si="218"/>
        <v>98/11/26</v>
      </c>
      <c r="B1758" s="3" t="str">
        <f t="shared" si="219"/>
        <v>كالاهاي مصرفي</v>
      </c>
      <c r="C1758" s="3" t="str">
        <f t="shared" si="223"/>
        <v>انبار مصرفي ZU1</v>
      </c>
      <c r="D1758" s="3" t="str">
        <f>"0207000082"</f>
        <v>0207000082</v>
      </c>
      <c r="E1758" s="3" t="str">
        <f>"شيلنگ انعطاف پذيرفلزي DN=80mm L=900mm"</f>
        <v>شيلنگ انعطاف پذيرفلزي DN=80mm L=900mm</v>
      </c>
      <c r="F1758" s="3" t="str">
        <f>"عدد"</f>
        <v>عدد</v>
      </c>
      <c r="G1758" s="3">
        <v>5</v>
      </c>
      <c r="H1758" s="5">
        <v>23000000</v>
      </c>
    </row>
    <row r="1759" spans="1:8" ht="18.75" x14ac:dyDescent="0.2">
      <c r="A1759" s="3" t="str">
        <f t="shared" si="218"/>
        <v>98/11/26</v>
      </c>
      <c r="B1759" s="3" t="str">
        <f t="shared" si="219"/>
        <v>كالاهاي مصرفي</v>
      </c>
      <c r="C1759" s="3" t="str">
        <f t="shared" si="223"/>
        <v>انبار مصرفي ZU1</v>
      </c>
      <c r="D1759" s="3" t="str">
        <f>"0204000451"</f>
        <v>0204000451</v>
      </c>
      <c r="E1759" s="3" t="str">
        <f>"گسكت مقاوم به آب داغ و بخار با تراكم 1000 ضخامت 1 ميليمتر"</f>
        <v>گسكت مقاوم به آب داغ و بخار با تراكم 1000 ضخامت 1 ميليمتر</v>
      </c>
      <c r="F1759" s="3" t="str">
        <f>"متر مربع"</f>
        <v>متر مربع</v>
      </c>
      <c r="G1759" s="3">
        <v>33</v>
      </c>
      <c r="H1759" s="5">
        <v>23100000</v>
      </c>
    </row>
    <row r="1760" spans="1:8" ht="18.75" x14ac:dyDescent="0.2">
      <c r="A1760" s="3" t="str">
        <f t="shared" si="218"/>
        <v>98/11/26</v>
      </c>
      <c r="B1760" s="3" t="str">
        <f t="shared" si="219"/>
        <v>كالاهاي مصرفي</v>
      </c>
      <c r="C1760" s="3" t="str">
        <f t="shared" si="223"/>
        <v>انبار مصرفي ZU1</v>
      </c>
      <c r="D1760" s="3" t="str">
        <f>"0204001487"</f>
        <v>0204001487</v>
      </c>
      <c r="E1760" s="3" t="str">
        <f>"بيرينگ 1218 C3"</f>
        <v>بيرينگ 1218 C3</v>
      </c>
      <c r="F1760" s="3" t="str">
        <f>"عدد"</f>
        <v>عدد</v>
      </c>
      <c r="G1760" s="3">
        <v>6</v>
      </c>
      <c r="H1760" s="5">
        <v>23100000</v>
      </c>
    </row>
    <row r="1761" spans="1:8" ht="18.75" x14ac:dyDescent="0.2">
      <c r="A1761" s="3" t="str">
        <f t="shared" si="218"/>
        <v>98/11/26</v>
      </c>
      <c r="B1761" s="3" t="str">
        <f t="shared" si="219"/>
        <v>كالاهاي مصرفي</v>
      </c>
      <c r="C1761" s="3" t="str">
        <f t="shared" si="223"/>
        <v>انبار مصرفي ZU1</v>
      </c>
      <c r="D1761" s="3" t="str">
        <f>"0213000436"</f>
        <v>0213000436</v>
      </c>
      <c r="E1761" s="3" t="str">
        <f>"پيچ گوشواره اي M30*6"</f>
        <v>پيچ گوشواره اي M30*6</v>
      </c>
      <c r="F1761" s="3" t="str">
        <f>"عدد"</f>
        <v>عدد</v>
      </c>
      <c r="G1761" s="3">
        <v>52</v>
      </c>
      <c r="H1761" s="5">
        <v>23265295</v>
      </c>
    </row>
    <row r="1762" spans="1:8" ht="18.75" x14ac:dyDescent="0.2">
      <c r="A1762" s="3" t="str">
        <f t="shared" si="218"/>
        <v>98/11/26</v>
      </c>
      <c r="B1762" s="3" t="str">
        <f t="shared" si="219"/>
        <v>كالاهاي مصرفي</v>
      </c>
      <c r="C1762" s="3" t="str">
        <f t="shared" si="223"/>
        <v>انبار مصرفي ZU1</v>
      </c>
      <c r="D1762" s="3" t="str">
        <f>"0204001957"</f>
        <v>0204001957</v>
      </c>
      <c r="E1762" s="3" t="str">
        <f>"Rotating ring (low speed shaft) SULZER Compressor"</f>
        <v>Rotating ring (low speed shaft) SULZER Compressor</v>
      </c>
      <c r="F1762" s="3" t="str">
        <f>"عدد"</f>
        <v>عدد</v>
      </c>
      <c r="G1762" s="3">
        <v>4</v>
      </c>
      <c r="H1762" s="5">
        <v>23280000</v>
      </c>
    </row>
    <row r="1763" spans="1:8" ht="18.75" x14ac:dyDescent="0.2">
      <c r="A1763" s="3" t="str">
        <f t="shared" si="218"/>
        <v>98/11/26</v>
      </c>
      <c r="B1763" s="3" t="str">
        <f t="shared" si="219"/>
        <v>كالاهاي مصرفي</v>
      </c>
      <c r="C1763" s="3" t="str">
        <f>"انبار مركزي ( عمومي )"</f>
        <v>انبار مركزي ( عمومي )</v>
      </c>
      <c r="D1763" s="3" t="str">
        <f>"0215000119"</f>
        <v>0215000119</v>
      </c>
      <c r="E1763" s="3" t="str">
        <f>"فيلتر اسفنجي ابعاد  60 * 60 قطر 5 سانتي"</f>
        <v>فيلتر اسفنجي ابعاد  60 * 60 قطر 5 سانتي</v>
      </c>
      <c r="F1763" s="3" t="str">
        <f>"عدد"</f>
        <v>عدد</v>
      </c>
      <c r="G1763" s="3">
        <v>100</v>
      </c>
      <c r="H1763" s="5">
        <v>23400000</v>
      </c>
    </row>
    <row r="1764" spans="1:8" ht="18.75" x14ac:dyDescent="0.2">
      <c r="A1764" s="3" t="str">
        <f t="shared" si="218"/>
        <v>98/11/26</v>
      </c>
      <c r="B1764" s="3" t="str">
        <f t="shared" si="219"/>
        <v>كالاهاي مصرفي</v>
      </c>
      <c r="C1764" s="3" t="str">
        <f t="shared" ref="C1764:C1771" si="224">"انبار مصرفي ZU1"</f>
        <v>انبار مصرفي ZU1</v>
      </c>
      <c r="D1764" s="3" t="str">
        <f>"0204001306"</f>
        <v>0204001306</v>
      </c>
      <c r="E1764" s="3" t="str">
        <f>"اورينگ HNBR 70*3.6"</f>
        <v>اورينگ HNBR 70*3.6</v>
      </c>
      <c r="F1764" s="3" t="str">
        <f>"عدد"</f>
        <v>عدد</v>
      </c>
      <c r="G1764" s="3">
        <v>19</v>
      </c>
      <c r="H1764" s="5">
        <v>23655000</v>
      </c>
    </row>
    <row r="1765" spans="1:8" ht="18.75" x14ac:dyDescent="0.2">
      <c r="A1765" s="3" t="str">
        <f t="shared" si="218"/>
        <v>98/11/26</v>
      </c>
      <c r="B1765" s="3" t="str">
        <f t="shared" si="219"/>
        <v>كالاهاي مصرفي</v>
      </c>
      <c r="C1765" s="3" t="str">
        <f t="shared" si="224"/>
        <v>انبار مصرفي ZU1</v>
      </c>
      <c r="D1765" s="3" t="str">
        <f>"0204000251"</f>
        <v>0204000251</v>
      </c>
      <c r="E1765" s="3" t="str">
        <f>"پكينگ آبندي فشاري 16 *16 نخ گرافيت كنف دار"</f>
        <v>پكينگ آبندي فشاري 16 *16 نخ گرافيت كنف دار</v>
      </c>
      <c r="F1765" s="3" t="str">
        <f>"کيلوگرم"</f>
        <v>کيلوگرم</v>
      </c>
      <c r="G1765" s="3">
        <v>95</v>
      </c>
      <c r="H1765" s="5">
        <v>23750000</v>
      </c>
    </row>
    <row r="1766" spans="1:8" ht="18.75" x14ac:dyDescent="0.2">
      <c r="A1766" s="3" t="str">
        <f t="shared" si="218"/>
        <v>98/11/26</v>
      </c>
      <c r="B1766" s="3" t="str">
        <f t="shared" si="219"/>
        <v>كالاهاي مصرفي</v>
      </c>
      <c r="C1766" s="3" t="str">
        <f t="shared" si="224"/>
        <v>انبار مصرفي ZU1</v>
      </c>
      <c r="D1766" s="3" t="str">
        <f>"0204000263"</f>
        <v>0204000263</v>
      </c>
      <c r="E1766" s="3" t="str">
        <f>"پكينگ آبندي فشاري 18*18 نخ گرافيت كنف دار"</f>
        <v>پكينگ آبندي فشاري 18*18 نخ گرافيت كنف دار</v>
      </c>
      <c r="F1766" s="3" t="str">
        <f>"کيلوگرم"</f>
        <v>کيلوگرم</v>
      </c>
      <c r="G1766" s="3">
        <v>95</v>
      </c>
      <c r="H1766" s="5">
        <v>23750000</v>
      </c>
    </row>
    <row r="1767" spans="1:8" ht="18.75" x14ac:dyDescent="0.2">
      <c r="A1767" s="3" t="str">
        <f t="shared" si="218"/>
        <v>98/11/26</v>
      </c>
      <c r="B1767" s="3" t="str">
        <f t="shared" si="219"/>
        <v>كالاهاي مصرفي</v>
      </c>
      <c r="C1767" s="3" t="str">
        <f t="shared" si="224"/>
        <v>انبار مصرفي ZU1</v>
      </c>
      <c r="D1767" s="3" t="str">
        <f>"0204001020"</f>
        <v>0204001020</v>
      </c>
      <c r="E1767" s="3" t="str">
        <f>"تسمه پروانه SPB 2900"</f>
        <v>تسمه پروانه SPB 2900</v>
      </c>
      <c r="F1767" s="3" t="str">
        <f>"حلقه"</f>
        <v>حلقه</v>
      </c>
      <c r="G1767" s="3">
        <v>33</v>
      </c>
      <c r="H1767" s="5">
        <v>23760000</v>
      </c>
    </row>
    <row r="1768" spans="1:8" ht="18.75" x14ac:dyDescent="0.2">
      <c r="A1768" s="3" t="str">
        <f t="shared" si="218"/>
        <v>98/11/26</v>
      </c>
      <c r="B1768" s="3" t="str">
        <f t="shared" si="219"/>
        <v>كالاهاي مصرفي</v>
      </c>
      <c r="C1768" s="3" t="str">
        <f t="shared" si="224"/>
        <v>انبار مصرفي ZU1</v>
      </c>
      <c r="D1768" s="3" t="str">
        <f>"0204001140"</f>
        <v>0204001140</v>
      </c>
      <c r="E1768" s="3" t="str">
        <f>"صفحات لاستيك آببندي مقاوم در مقابل محيط اسيدي و بازي ضخامت 2"</f>
        <v>صفحات لاستيك آببندي مقاوم در مقابل محيط اسيدي و بازي ضخامت 2</v>
      </c>
      <c r="F1768" s="3" t="str">
        <f>"متر مربع"</f>
        <v>متر مربع</v>
      </c>
      <c r="G1768" s="3">
        <v>7</v>
      </c>
      <c r="H1768" s="5">
        <v>23805000</v>
      </c>
    </row>
    <row r="1769" spans="1:8" ht="18.75" x14ac:dyDescent="0.2">
      <c r="A1769" s="3" t="str">
        <f t="shared" si="218"/>
        <v>98/11/26</v>
      </c>
      <c r="B1769" s="3" t="str">
        <f t="shared" si="219"/>
        <v>كالاهاي مصرفي</v>
      </c>
      <c r="C1769" s="3" t="str">
        <f t="shared" si="224"/>
        <v>انبار مصرفي ZU1</v>
      </c>
      <c r="D1769" s="3" t="str">
        <f>"0106000160"</f>
        <v>0106000160</v>
      </c>
      <c r="E1769" s="3" t="str">
        <f>"روغن shell Tellus 32 بشكه 209"</f>
        <v>روغن shell Tellus 32 بشكه 209</v>
      </c>
      <c r="F1769" s="3" t="str">
        <f>"بشكه"</f>
        <v>بشكه</v>
      </c>
      <c r="G1769" s="3">
        <v>0.95699999999999996</v>
      </c>
      <c r="H1769" s="5">
        <v>24000000</v>
      </c>
    </row>
    <row r="1770" spans="1:8" ht="18.75" x14ac:dyDescent="0.2">
      <c r="A1770" s="3" t="str">
        <f t="shared" si="218"/>
        <v>98/11/26</v>
      </c>
      <c r="B1770" s="3" t="str">
        <f t="shared" si="219"/>
        <v>كالاهاي مصرفي</v>
      </c>
      <c r="C1770" s="3" t="str">
        <f t="shared" si="224"/>
        <v>انبار مصرفي ZU1</v>
      </c>
      <c r="D1770" s="3" t="str">
        <f>"0204000718"</f>
        <v>0204000718</v>
      </c>
      <c r="E1770" s="3" t="str">
        <f>"كاسه نمد Mild Steel 90*135*13 AIB"</f>
        <v>كاسه نمد Mild Steel 90*135*13 AIB</v>
      </c>
      <c r="F1770" s="3" t="str">
        <f t="shared" ref="F1770:F1775" si="225">"عدد"</f>
        <v>عدد</v>
      </c>
      <c r="G1770" s="3">
        <v>50</v>
      </c>
      <c r="H1770" s="5">
        <v>24000000</v>
      </c>
    </row>
    <row r="1771" spans="1:8" ht="18.75" x14ac:dyDescent="0.2">
      <c r="A1771" s="3" t="str">
        <f t="shared" si="218"/>
        <v>98/11/26</v>
      </c>
      <c r="B1771" s="3" t="str">
        <f t="shared" si="219"/>
        <v>كالاهاي مصرفي</v>
      </c>
      <c r="C1771" s="3" t="str">
        <f t="shared" si="224"/>
        <v>انبار مصرفي ZU1</v>
      </c>
      <c r="D1771" s="3" t="str">
        <f>"0215000075"</f>
        <v>0215000075</v>
      </c>
      <c r="E1771" s="3" t="str">
        <f>"فيلتر روغن MANN - HD863/3"</f>
        <v>فيلتر روغن MANN - HD863/3</v>
      </c>
      <c r="F1771" s="3" t="str">
        <f t="shared" si="225"/>
        <v>عدد</v>
      </c>
      <c r="G1771" s="3">
        <v>4</v>
      </c>
      <c r="H1771" s="5">
        <v>24000000</v>
      </c>
    </row>
    <row r="1772" spans="1:8" ht="18.75" x14ac:dyDescent="0.2">
      <c r="A1772" s="3" t="str">
        <f t="shared" si="218"/>
        <v>98/11/26</v>
      </c>
      <c r="B1772" s="3" t="str">
        <f t="shared" si="219"/>
        <v>كالاهاي مصرفي</v>
      </c>
      <c r="C1772" s="3" t="str">
        <f>"انبار مركزي ( عمومي )"</f>
        <v>انبار مركزي ( عمومي )</v>
      </c>
      <c r="D1772" s="3" t="str">
        <f>"0903000193"</f>
        <v>0903000193</v>
      </c>
      <c r="E1772" s="3" t="str">
        <f>"KVM Switch Aten CS62US"</f>
        <v>KVM Switch Aten CS62US</v>
      </c>
      <c r="F1772" s="3" t="str">
        <f t="shared" si="225"/>
        <v>عدد</v>
      </c>
      <c r="G1772" s="3">
        <v>3</v>
      </c>
      <c r="H1772" s="5">
        <v>24000000</v>
      </c>
    </row>
    <row r="1773" spans="1:8" ht="18.75" x14ac:dyDescent="0.2">
      <c r="A1773" s="3" t="str">
        <f t="shared" si="218"/>
        <v>98/11/26</v>
      </c>
      <c r="B1773" s="3" t="str">
        <f t="shared" si="219"/>
        <v>كالاهاي مصرفي</v>
      </c>
      <c r="C1773" s="3" t="str">
        <f>"انبار مركزي ( عمومي )"</f>
        <v>انبار مركزي ( عمومي )</v>
      </c>
      <c r="D1773" s="3" t="str">
        <f>"0906000330"</f>
        <v>0906000330</v>
      </c>
      <c r="E1773" s="3" t="str">
        <f>"KVM Switch Aten CS692"</f>
        <v>KVM Switch Aten CS692</v>
      </c>
      <c r="F1773" s="3" t="str">
        <f t="shared" si="225"/>
        <v>عدد</v>
      </c>
      <c r="G1773" s="3">
        <v>3</v>
      </c>
      <c r="H1773" s="5">
        <v>24000000</v>
      </c>
    </row>
    <row r="1774" spans="1:8" ht="18.75" x14ac:dyDescent="0.2">
      <c r="A1774" s="3" t="str">
        <f t="shared" si="218"/>
        <v>98/11/26</v>
      </c>
      <c r="B1774" s="3" t="str">
        <f t="shared" si="219"/>
        <v>كالاهاي مصرفي</v>
      </c>
      <c r="C1774" s="3" t="str">
        <f t="shared" ref="C1774:C1781" si="226">"انبار مصرفي ZU1"</f>
        <v>انبار مصرفي ZU1</v>
      </c>
      <c r="D1774" s="3" t="str">
        <f>"0204001361"</f>
        <v>0204001361</v>
      </c>
      <c r="E1774" s="3" t="str">
        <f>"اورينگ HNBR 500*6.3"</f>
        <v>اورينگ HNBR 500*6.3</v>
      </c>
      <c r="F1774" s="3" t="str">
        <f t="shared" si="225"/>
        <v>عدد</v>
      </c>
      <c r="G1774" s="3">
        <v>20</v>
      </c>
      <c r="H1774" s="5">
        <v>24140000</v>
      </c>
    </row>
    <row r="1775" spans="1:8" ht="18.75" x14ac:dyDescent="0.2">
      <c r="A1775" s="3" t="str">
        <f t="shared" si="218"/>
        <v>98/11/26</v>
      </c>
      <c r="B1775" s="3" t="str">
        <f t="shared" si="219"/>
        <v>كالاهاي مصرفي</v>
      </c>
      <c r="C1775" s="3" t="str">
        <f t="shared" si="226"/>
        <v>انبار مصرفي ZU1</v>
      </c>
      <c r="D1775" s="3" t="str">
        <f>"0213000162"</f>
        <v>0213000162</v>
      </c>
      <c r="E1775" s="3" t="str">
        <f>"پيچ M42*160"</f>
        <v>پيچ M42*160</v>
      </c>
      <c r="F1775" s="3" t="str">
        <f t="shared" si="225"/>
        <v>عدد</v>
      </c>
      <c r="G1775" s="3">
        <v>78</v>
      </c>
      <c r="H1775" s="5">
        <v>24195600</v>
      </c>
    </row>
    <row r="1776" spans="1:8" ht="18.75" x14ac:dyDescent="0.2">
      <c r="A1776" s="3" t="str">
        <f t="shared" si="218"/>
        <v>98/11/26</v>
      </c>
      <c r="B1776" s="3" t="str">
        <f t="shared" si="219"/>
        <v>كالاهاي مصرفي</v>
      </c>
      <c r="C1776" s="3" t="str">
        <f t="shared" si="226"/>
        <v>انبار مصرفي ZU1</v>
      </c>
      <c r="D1776" s="3" t="str">
        <f>"0106000153"</f>
        <v>0106000153</v>
      </c>
      <c r="E1776" s="3" t="str">
        <f>"گريس GUlf Crown EP1 سطل 18 كيلويي"</f>
        <v>گريس GUlf Crown EP1 سطل 18 كيلويي</v>
      </c>
      <c r="F1776" s="3" t="str">
        <f>"گالن"</f>
        <v>گالن</v>
      </c>
      <c r="G1776" s="3">
        <v>5</v>
      </c>
      <c r="H1776" s="5">
        <v>24300000</v>
      </c>
    </row>
    <row r="1777" spans="1:8" ht="18.75" x14ac:dyDescent="0.2">
      <c r="A1777" s="3" t="str">
        <f t="shared" si="218"/>
        <v>98/11/26</v>
      </c>
      <c r="B1777" s="3" t="str">
        <f t="shared" si="219"/>
        <v>كالاهاي مصرفي</v>
      </c>
      <c r="C1777" s="3" t="str">
        <f t="shared" si="226"/>
        <v>انبار مصرفي ZU1</v>
      </c>
      <c r="D1777" s="3" t="str">
        <f>"0204001344"</f>
        <v>0204001344</v>
      </c>
      <c r="E1777" s="3" t="str">
        <f>"اورينگ HNBR 900*6.0"</f>
        <v>اورينگ HNBR 900*6.0</v>
      </c>
      <c r="F1777" s="3" t="str">
        <f>"عدد"</f>
        <v>عدد</v>
      </c>
      <c r="G1777" s="3">
        <v>12</v>
      </c>
      <c r="H1777" s="5">
        <v>24348000</v>
      </c>
    </row>
    <row r="1778" spans="1:8" ht="18.75" x14ac:dyDescent="0.2">
      <c r="A1778" s="3" t="str">
        <f t="shared" si="218"/>
        <v>98/11/26</v>
      </c>
      <c r="B1778" s="3" t="str">
        <f t="shared" si="219"/>
        <v>كالاهاي مصرفي</v>
      </c>
      <c r="C1778" s="3" t="str">
        <f t="shared" si="226"/>
        <v>انبار مصرفي ZU1</v>
      </c>
      <c r="D1778" s="3" t="str">
        <f>"0204000167"</f>
        <v>0204000167</v>
      </c>
      <c r="E1778" s="3" t="str">
        <f>"بيرينگ NU217-ECM/C3"</f>
        <v>بيرينگ NU217-ECM/C3</v>
      </c>
      <c r="F1778" s="3" t="str">
        <f>"عدد"</f>
        <v>عدد</v>
      </c>
      <c r="G1778" s="3">
        <v>6</v>
      </c>
      <c r="H1778" s="5">
        <v>24600000</v>
      </c>
    </row>
    <row r="1779" spans="1:8" ht="18.75" x14ac:dyDescent="0.2">
      <c r="A1779" s="3" t="str">
        <f t="shared" si="218"/>
        <v>98/11/26</v>
      </c>
      <c r="B1779" s="3" t="str">
        <f t="shared" si="219"/>
        <v>كالاهاي مصرفي</v>
      </c>
      <c r="C1779" s="3" t="str">
        <f t="shared" si="226"/>
        <v>انبار مصرفي ZU1</v>
      </c>
      <c r="D1779" s="3" t="str">
        <f>"0204000504"</f>
        <v>0204000504</v>
      </c>
      <c r="E1779" s="3" t="str">
        <f>"ورقه تفلوني ( فتاراپلاست)ضخامت 1 ميلي متر"</f>
        <v>ورقه تفلوني ( فتاراپلاست)ضخامت 1 ميلي متر</v>
      </c>
      <c r="F1779" s="3" t="str">
        <f>"متر مربع"</f>
        <v>متر مربع</v>
      </c>
      <c r="G1779" s="3">
        <v>6</v>
      </c>
      <c r="H1779" s="5">
        <v>24600000</v>
      </c>
    </row>
    <row r="1780" spans="1:8" ht="18.75" x14ac:dyDescent="0.2">
      <c r="A1780" s="3" t="str">
        <f t="shared" si="218"/>
        <v>98/11/26</v>
      </c>
      <c r="B1780" s="3" t="str">
        <f t="shared" si="219"/>
        <v>كالاهاي مصرفي</v>
      </c>
      <c r="C1780" s="3" t="str">
        <f t="shared" si="226"/>
        <v>انبار مصرفي ZU1</v>
      </c>
      <c r="D1780" s="3" t="str">
        <f>"0204001351"</f>
        <v>0204001351</v>
      </c>
      <c r="E1780" s="3" t="str">
        <f>"اورينگ HNBR 586*5.5"</f>
        <v>اورينگ HNBR 586*5.5</v>
      </c>
      <c r="F1780" s="3" t="str">
        <f>"عدد"</f>
        <v>عدد</v>
      </c>
      <c r="G1780" s="3">
        <v>20</v>
      </c>
      <c r="H1780" s="5">
        <v>24620000</v>
      </c>
    </row>
    <row r="1781" spans="1:8" ht="18.75" x14ac:dyDescent="0.2">
      <c r="A1781" s="3" t="str">
        <f t="shared" si="218"/>
        <v>98/11/26</v>
      </c>
      <c r="B1781" s="3" t="str">
        <f t="shared" si="219"/>
        <v>كالاهاي مصرفي</v>
      </c>
      <c r="C1781" s="3" t="str">
        <f t="shared" si="226"/>
        <v>انبار مصرفي ZU1</v>
      </c>
      <c r="D1781" s="3" t="str">
        <f>"0204000714"</f>
        <v>0204000714</v>
      </c>
      <c r="E1781" s="3" t="str">
        <f>"كاسه نمد Mild Steel 70*90*10 AIB"</f>
        <v>كاسه نمد Mild Steel 70*90*10 AIB</v>
      </c>
      <c r="F1781" s="3" t="str">
        <f>"عدد"</f>
        <v>عدد</v>
      </c>
      <c r="G1781" s="3">
        <v>45</v>
      </c>
      <c r="H1781" s="5">
        <v>24750000</v>
      </c>
    </row>
    <row r="1782" spans="1:8" ht="18.75" x14ac:dyDescent="0.2">
      <c r="A1782" s="3" t="str">
        <f t="shared" si="218"/>
        <v>98/11/26</v>
      </c>
      <c r="B1782" s="3" t="str">
        <f t="shared" si="219"/>
        <v>كالاهاي مصرفي</v>
      </c>
      <c r="C1782" s="3" t="str">
        <f>"انبار مركزي ( عمومي )"</f>
        <v>انبار مركزي ( عمومي )</v>
      </c>
      <c r="D1782" s="3" t="str">
        <f>"0213000801"</f>
        <v>0213000801</v>
      </c>
      <c r="E1782" s="3" t="str">
        <f>"قفل آويز كتابي"</f>
        <v>قفل آويز كتابي</v>
      </c>
      <c r="F1782" s="3" t="str">
        <f>"عدد"</f>
        <v>عدد</v>
      </c>
      <c r="G1782" s="3">
        <v>31</v>
      </c>
      <c r="H1782" s="5">
        <v>24800000</v>
      </c>
    </row>
    <row r="1783" spans="1:8" ht="18.75" x14ac:dyDescent="0.2">
      <c r="A1783" s="3" t="str">
        <f t="shared" si="218"/>
        <v>98/11/26</v>
      </c>
      <c r="B1783" s="3" t="str">
        <f t="shared" si="219"/>
        <v>كالاهاي مصرفي</v>
      </c>
      <c r="C1783" s="3" t="str">
        <f>"انبار مصرفي ZU1"</f>
        <v>انبار مصرفي ZU1</v>
      </c>
      <c r="D1783" s="3" t="str">
        <f>"0106000197"</f>
        <v>0106000197</v>
      </c>
      <c r="E1783" s="3" t="str">
        <f>"روغن mobile  heavy Medium gdjv"</f>
        <v>روغن mobile  heavy Medium gdjv</v>
      </c>
      <c r="F1783" s="3" t="str">
        <f>"ليتر"</f>
        <v>ليتر</v>
      </c>
      <c r="G1783" s="3">
        <v>200</v>
      </c>
      <c r="H1783" s="5">
        <v>25000000</v>
      </c>
    </row>
    <row r="1784" spans="1:8" ht="18.75" x14ac:dyDescent="0.2">
      <c r="A1784" s="3" t="str">
        <f t="shared" si="218"/>
        <v>98/11/26</v>
      </c>
      <c r="B1784" s="3" t="str">
        <f t="shared" si="219"/>
        <v>كالاهاي مصرفي</v>
      </c>
      <c r="C1784" s="3" t="str">
        <f>"انبار مصرفي ZU1"</f>
        <v>انبار مصرفي ZU1</v>
      </c>
      <c r="D1784" s="3" t="str">
        <f>"0204002133"</f>
        <v>0204002133</v>
      </c>
      <c r="E1784" s="3" t="str">
        <f>"بوش پكينگ پمپ UW00D002"</f>
        <v>بوش پكينگ پمپ UW00D002</v>
      </c>
      <c r="F1784" s="3" t="str">
        <f>"عدد"</f>
        <v>عدد</v>
      </c>
      <c r="G1784" s="3">
        <v>1</v>
      </c>
      <c r="H1784" s="5">
        <v>25000000</v>
      </c>
    </row>
    <row r="1785" spans="1:8" ht="18.75" x14ac:dyDescent="0.2">
      <c r="A1785" s="3" t="str">
        <f t="shared" si="218"/>
        <v>98/11/26</v>
      </c>
      <c r="B1785" s="3" t="str">
        <f t="shared" si="219"/>
        <v>كالاهاي مصرفي</v>
      </c>
      <c r="C1785" s="3" t="str">
        <f>"انبار مصرفي ZU1"</f>
        <v>انبار مصرفي ZU1</v>
      </c>
      <c r="D1785" s="3" t="str">
        <f>"0209000345"</f>
        <v>0209000345</v>
      </c>
      <c r="E1785" s="3" t="str">
        <f>"ضربه گير لاستيکي استوانه اي سايز بزرگ فيلتر VA"</f>
        <v>ضربه گير لاستيکي استوانه اي سايز بزرگ فيلتر VA</v>
      </c>
      <c r="F1785" s="3" t="str">
        <f>"عدد"</f>
        <v>عدد</v>
      </c>
      <c r="G1785" s="3">
        <v>50</v>
      </c>
      <c r="H1785" s="5">
        <v>25000000</v>
      </c>
    </row>
    <row r="1786" spans="1:8" ht="18.75" x14ac:dyDescent="0.2">
      <c r="A1786" s="3" t="str">
        <f t="shared" si="218"/>
        <v>98/11/26</v>
      </c>
      <c r="B1786" s="3" t="str">
        <f t="shared" si="219"/>
        <v>كالاهاي مصرفي</v>
      </c>
      <c r="C1786" s="3" t="str">
        <f>"انبار مصرفي ZU1"</f>
        <v>انبار مصرفي ZU1</v>
      </c>
      <c r="D1786" s="3" t="str">
        <f>"0212000074"</f>
        <v>0212000074</v>
      </c>
      <c r="E1786" s="3" t="str">
        <f>"سيم استنلس استيل 1.5"</f>
        <v>سيم استنلس استيل 1.5</v>
      </c>
      <c r="F1786" s="3" t="str">
        <f>"کيلوگرم"</f>
        <v>کيلوگرم</v>
      </c>
      <c r="G1786" s="3">
        <v>20</v>
      </c>
      <c r="H1786" s="5">
        <v>25000000</v>
      </c>
    </row>
    <row r="1787" spans="1:8" ht="18.75" x14ac:dyDescent="0.2">
      <c r="A1787" s="3" t="str">
        <f t="shared" si="218"/>
        <v>98/11/26</v>
      </c>
      <c r="B1787" s="3" t="str">
        <f t="shared" si="219"/>
        <v>كالاهاي مصرفي</v>
      </c>
      <c r="C1787" s="3" t="str">
        <f>"انبار مصرفي ZU1"</f>
        <v>انبار مصرفي ZU1</v>
      </c>
      <c r="D1787" s="3" t="str">
        <f>"0204000080"</f>
        <v>0204000080</v>
      </c>
      <c r="E1787" s="3" t="str">
        <f>"بيرينگ NU324-ECML/C3"</f>
        <v>بيرينگ NU324-ECML/C3</v>
      </c>
      <c r="F1787" s="3" t="str">
        <f>"عدد"</f>
        <v>عدد</v>
      </c>
      <c r="G1787" s="3">
        <v>1</v>
      </c>
      <c r="H1787" s="5">
        <v>25170000</v>
      </c>
    </row>
    <row r="1788" spans="1:8" ht="18.75" x14ac:dyDescent="0.2">
      <c r="A1788" s="3" t="str">
        <f t="shared" si="218"/>
        <v>98/11/26</v>
      </c>
      <c r="B1788" s="3" t="str">
        <f t="shared" si="219"/>
        <v>كالاهاي مصرفي</v>
      </c>
      <c r="C1788" s="3" t="str">
        <f>"انبار مركزي ( عمومي )"</f>
        <v>انبار مركزي ( عمومي )</v>
      </c>
      <c r="D1788" s="3" t="str">
        <f>"0211001080"</f>
        <v>0211001080</v>
      </c>
      <c r="E1788" s="3" t="str">
        <f>"نوار تفلون"</f>
        <v>نوار تفلون</v>
      </c>
      <c r="F1788" s="3" t="str">
        <f>"حلقه"</f>
        <v>حلقه</v>
      </c>
      <c r="G1788" s="3">
        <v>1014</v>
      </c>
      <c r="H1788" s="5">
        <v>25236508</v>
      </c>
    </row>
    <row r="1789" spans="1:8" ht="18.75" x14ac:dyDescent="0.2">
      <c r="A1789" s="3" t="str">
        <f t="shared" si="218"/>
        <v>98/11/26</v>
      </c>
      <c r="B1789" s="3" t="str">
        <f t="shared" si="219"/>
        <v>كالاهاي مصرفي</v>
      </c>
      <c r="C1789" s="3" t="str">
        <f t="shared" ref="C1789:C1795" si="227">"انبار مصرفي ZU1"</f>
        <v>انبار مصرفي ZU1</v>
      </c>
      <c r="D1789" s="3" t="str">
        <f>"0601000082"</f>
        <v>0601000082</v>
      </c>
      <c r="E1789" s="3" t="str">
        <f>"عينك محافظ چشم بغلدار شفاف"</f>
        <v>عينك محافظ چشم بغلدار شفاف</v>
      </c>
      <c r="F1789" s="3" t="str">
        <f t="shared" ref="F1789:F1794" si="228">"عدد"</f>
        <v>عدد</v>
      </c>
      <c r="G1789" s="3">
        <v>153</v>
      </c>
      <c r="H1789" s="5">
        <v>25244994</v>
      </c>
    </row>
    <row r="1790" spans="1:8" ht="18.75" x14ac:dyDescent="0.2">
      <c r="A1790" s="3" t="str">
        <f t="shared" si="218"/>
        <v>98/11/26</v>
      </c>
      <c r="B1790" s="3" t="str">
        <f t="shared" si="219"/>
        <v>كالاهاي مصرفي</v>
      </c>
      <c r="C1790" s="3" t="str">
        <f t="shared" si="227"/>
        <v>انبار مصرفي ZU1</v>
      </c>
      <c r="D1790" s="3" t="str">
        <f>"0204001931"</f>
        <v>0204001931</v>
      </c>
      <c r="E1790" s="3" t="str">
        <f>"7320 BMبيرينگ"</f>
        <v>7320 BMبيرينگ</v>
      </c>
      <c r="F1790" s="3" t="str">
        <f t="shared" si="228"/>
        <v>عدد</v>
      </c>
      <c r="G1790" s="3">
        <v>3</v>
      </c>
      <c r="H1790" s="5">
        <v>25245000</v>
      </c>
    </row>
    <row r="1791" spans="1:8" ht="18.75" x14ac:dyDescent="0.2">
      <c r="A1791" s="3" t="str">
        <f t="shared" si="218"/>
        <v>98/11/26</v>
      </c>
      <c r="B1791" s="3" t="str">
        <f t="shared" si="219"/>
        <v>كالاهاي مصرفي</v>
      </c>
      <c r="C1791" s="3" t="str">
        <f t="shared" si="227"/>
        <v>انبار مصرفي ZU1</v>
      </c>
      <c r="D1791" s="3" t="str">
        <f>"0204002021"</f>
        <v>0204002021</v>
      </c>
      <c r="E1791" s="3" t="str">
        <f>"ضربه گير لاستيکي VE22D001"</f>
        <v>ضربه گير لاستيکي VE22D001</v>
      </c>
      <c r="F1791" s="3" t="str">
        <f t="shared" si="228"/>
        <v>عدد</v>
      </c>
      <c r="G1791" s="3">
        <v>15</v>
      </c>
      <c r="H1791" s="5">
        <v>25500000</v>
      </c>
    </row>
    <row r="1792" spans="1:8" ht="18.75" x14ac:dyDescent="0.2">
      <c r="A1792" s="3" t="str">
        <f t="shared" si="218"/>
        <v>98/11/26</v>
      </c>
      <c r="B1792" s="3" t="str">
        <f t="shared" si="219"/>
        <v>كالاهاي مصرفي</v>
      </c>
      <c r="C1792" s="3" t="str">
        <f t="shared" si="227"/>
        <v>انبار مصرفي ZU1</v>
      </c>
      <c r="D1792" s="3" t="str">
        <f>"0211001752"</f>
        <v>0211001752</v>
      </c>
      <c r="E1792" s="3" t="str">
        <f>"شيم پليت ضخامت1 به ابعاد 125 *125"</f>
        <v>شيم پليت ضخامت1 به ابعاد 125 *125</v>
      </c>
      <c r="F1792" s="3" t="str">
        <f t="shared" si="228"/>
        <v>عدد</v>
      </c>
      <c r="G1792" s="3">
        <v>64</v>
      </c>
      <c r="H1792" s="5">
        <v>25600000</v>
      </c>
    </row>
    <row r="1793" spans="1:8" ht="18.75" x14ac:dyDescent="0.2">
      <c r="A1793" s="3" t="str">
        <f t="shared" si="218"/>
        <v>98/11/26</v>
      </c>
      <c r="B1793" s="3" t="str">
        <f t="shared" si="219"/>
        <v>كالاهاي مصرفي</v>
      </c>
      <c r="C1793" s="3" t="str">
        <f t="shared" si="227"/>
        <v>انبار مصرفي ZU1</v>
      </c>
      <c r="D1793" s="3" t="str">
        <f>"0211002080"</f>
        <v>0211002080</v>
      </c>
      <c r="E1793" s="3" t="str">
        <f>"سايد گلاس پمپ روغن سولزر"</f>
        <v>سايد گلاس پمپ روغن سولزر</v>
      </c>
      <c r="F1793" s="3" t="str">
        <f t="shared" si="228"/>
        <v>عدد</v>
      </c>
      <c r="G1793" s="3">
        <v>8</v>
      </c>
      <c r="H1793" s="5">
        <v>25600000</v>
      </c>
    </row>
    <row r="1794" spans="1:8" ht="18.75" x14ac:dyDescent="0.2">
      <c r="A1794" s="3" t="str">
        <f t="shared" ref="A1794:A1857" si="229">"98/11/26"</f>
        <v>98/11/26</v>
      </c>
      <c r="B1794" s="3" t="str">
        <f t="shared" ref="B1794:B1857" si="230">"كالاهاي مصرفي"</f>
        <v>كالاهاي مصرفي</v>
      </c>
      <c r="C1794" s="3" t="str">
        <f t="shared" si="227"/>
        <v>انبار مصرفي ZU1</v>
      </c>
      <c r="D1794" s="3" t="str">
        <f>"0204000516"</f>
        <v>0204000516</v>
      </c>
      <c r="E1794" s="3" t="str">
        <f>"بيرينگ 7219"</f>
        <v>بيرينگ 7219</v>
      </c>
      <c r="F1794" s="3" t="str">
        <f t="shared" si="228"/>
        <v>عدد</v>
      </c>
      <c r="G1794" s="3">
        <v>5</v>
      </c>
      <c r="H1794" s="5">
        <v>25804166</v>
      </c>
    </row>
    <row r="1795" spans="1:8" ht="18.75" x14ac:dyDescent="0.2">
      <c r="A1795" s="3" t="str">
        <f t="shared" si="229"/>
        <v>98/11/26</v>
      </c>
      <c r="B1795" s="3" t="str">
        <f t="shared" si="230"/>
        <v>كالاهاي مصرفي</v>
      </c>
      <c r="C1795" s="3" t="str">
        <f t="shared" si="227"/>
        <v>انبار مصرفي ZU1</v>
      </c>
      <c r="D1795" s="3" t="str">
        <f>"0204001057"</f>
        <v>0204001057</v>
      </c>
      <c r="E1795" s="3" t="str">
        <f>"صفحات لاستيك آببندي معمولي ضخامت 8 ميليمتر"</f>
        <v>صفحات لاستيك آببندي معمولي ضخامت 8 ميليمتر</v>
      </c>
      <c r="F1795" s="3" t="str">
        <f>"کيلوگرم"</f>
        <v>کيلوگرم</v>
      </c>
      <c r="G1795" s="3">
        <v>374</v>
      </c>
      <c r="H1795" s="5">
        <v>25806000</v>
      </c>
    </row>
    <row r="1796" spans="1:8" ht="18.75" x14ac:dyDescent="0.2">
      <c r="A1796" s="3" t="str">
        <f t="shared" si="229"/>
        <v>98/11/26</v>
      </c>
      <c r="B1796" s="3" t="str">
        <f t="shared" si="230"/>
        <v>كالاهاي مصرفي</v>
      </c>
      <c r="C1796" s="3" t="str">
        <f>"انبار مركزي ( عمومي )"</f>
        <v>انبار مركزي ( عمومي )</v>
      </c>
      <c r="D1796" s="3" t="str">
        <f>"0203000081"</f>
        <v>0203000081</v>
      </c>
      <c r="E1796" s="3" t="str">
        <f>"مته الماسه چهار شياره نمره 25"</f>
        <v>مته الماسه چهار شياره نمره 25</v>
      </c>
      <c r="F1796" s="3" t="str">
        <f>"عدد"</f>
        <v>عدد</v>
      </c>
      <c r="G1796" s="3">
        <v>14</v>
      </c>
      <c r="H1796" s="5">
        <v>25900000</v>
      </c>
    </row>
    <row r="1797" spans="1:8" ht="18.75" x14ac:dyDescent="0.2">
      <c r="A1797" s="3" t="str">
        <f t="shared" si="229"/>
        <v>98/11/26</v>
      </c>
      <c r="B1797" s="3" t="str">
        <f t="shared" si="230"/>
        <v>كالاهاي مصرفي</v>
      </c>
      <c r="C1797" s="3" t="str">
        <f t="shared" ref="C1797:C1810" si="231">"انبار مصرفي ZU1"</f>
        <v>انبار مصرفي ZU1</v>
      </c>
      <c r="D1797" s="3" t="str">
        <f>"0211001755"</f>
        <v>0211001755</v>
      </c>
      <c r="E1797" s="3" t="str">
        <f>"شيم پليت ضخامت 2 به ابعاد 75 *75"</f>
        <v>شيم پليت ضخامت 2 به ابعاد 75 *75</v>
      </c>
      <c r="F1797" s="3" t="str">
        <f>"عدد"</f>
        <v>عدد</v>
      </c>
      <c r="G1797" s="3">
        <v>51</v>
      </c>
      <c r="H1797" s="5">
        <v>26000000</v>
      </c>
    </row>
    <row r="1798" spans="1:8" ht="18.75" x14ac:dyDescent="0.2">
      <c r="A1798" s="3" t="str">
        <f t="shared" si="229"/>
        <v>98/11/26</v>
      </c>
      <c r="B1798" s="3" t="str">
        <f t="shared" si="230"/>
        <v>كالاهاي مصرفي</v>
      </c>
      <c r="C1798" s="3" t="str">
        <f t="shared" si="231"/>
        <v>انبار مصرفي ZU1</v>
      </c>
      <c r="D1798" s="3" t="str">
        <f>"0215000140"</f>
        <v>0215000140</v>
      </c>
      <c r="E1798" s="3" t="str">
        <f>"فيلتر روغن K330AO"</f>
        <v>فيلتر روغن K330AO</v>
      </c>
      <c r="F1798" s="3" t="str">
        <f>"عدد"</f>
        <v>عدد</v>
      </c>
      <c r="G1798" s="3">
        <v>2</v>
      </c>
      <c r="H1798" s="5">
        <v>26000000</v>
      </c>
    </row>
    <row r="1799" spans="1:8" ht="18.75" x14ac:dyDescent="0.2">
      <c r="A1799" s="3" t="str">
        <f t="shared" si="229"/>
        <v>98/11/26</v>
      </c>
      <c r="B1799" s="3" t="str">
        <f t="shared" si="230"/>
        <v>كالاهاي مصرفي</v>
      </c>
      <c r="C1799" s="3" t="str">
        <f t="shared" si="231"/>
        <v>انبار مصرفي ZU1</v>
      </c>
      <c r="D1799" s="3" t="str">
        <f>"0215000141"</f>
        <v>0215000141</v>
      </c>
      <c r="E1799" s="3" t="str">
        <f>"فيلتر روغن K330AA"</f>
        <v>فيلتر روغن K330AA</v>
      </c>
      <c r="F1799" s="3" t="str">
        <f>"عدد"</f>
        <v>عدد</v>
      </c>
      <c r="G1799" s="3">
        <v>2</v>
      </c>
      <c r="H1799" s="5">
        <v>26000000</v>
      </c>
    </row>
    <row r="1800" spans="1:8" ht="18.75" x14ac:dyDescent="0.2">
      <c r="A1800" s="3" t="str">
        <f t="shared" si="229"/>
        <v>98/11/26</v>
      </c>
      <c r="B1800" s="3" t="str">
        <f t="shared" si="230"/>
        <v>كالاهاي مصرفي</v>
      </c>
      <c r="C1800" s="3" t="str">
        <f t="shared" si="231"/>
        <v>انبار مصرفي ZU1</v>
      </c>
      <c r="D1800" s="3" t="str">
        <f>"0215000142"</f>
        <v>0215000142</v>
      </c>
      <c r="E1800" s="3" t="str">
        <f>"فيلتر روغن K330ACS"</f>
        <v>فيلتر روغن K330ACS</v>
      </c>
      <c r="F1800" s="3" t="str">
        <f>"عدد"</f>
        <v>عدد</v>
      </c>
      <c r="G1800" s="3">
        <v>2</v>
      </c>
      <c r="H1800" s="5">
        <v>26000000</v>
      </c>
    </row>
    <row r="1801" spans="1:8" ht="18.75" x14ac:dyDescent="0.2">
      <c r="A1801" s="3" t="str">
        <f t="shared" si="229"/>
        <v>98/11/26</v>
      </c>
      <c r="B1801" s="3" t="str">
        <f t="shared" si="230"/>
        <v>كالاهاي مصرفي</v>
      </c>
      <c r="C1801" s="3" t="str">
        <f t="shared" si="231"/>
        <v>انبار مصرفي ZU1</v>
      </c>
      <c r="D1801" s="3" t="str">
        <f>"0204001150"</f>
        <v>0204001150</v>
      </c>
      <c r="E1801" s="3" t="str">
        <f>"گسکت مقاوم به اسيد و باز ضخامت 1 ميليمتر"</f>
        <v>گسکت مقاوم به اسيد و باز ضخامت 1 ميليمتر</v>
      </c>
      <c r="F1801" s="3" t="str">
        <f>"متر مربع"</f>
        <v>متر مربع</v>
      </c>
      <c r="G1801" s="3">
        <v>12</v>
      </c>
      <c r="H1801" s="5">
        <v>26160000</v>
      </c>
    </row>
    <row r="1802" spans="1:8" ht="18.75" x14ac:dyDescent="0.2">
      <c r="A1802" s="3" t="str">
        <f t="shared" si="229"/>
        <v>98/11/26</v>
      </c>
      <c r="B1802" s="3" t="str">
        <f t="shared" si="230"/>
        <v>كالاهاي مصرفي</v>
      </c>
      <c r="C1802" s="3" t="str">
        <f t="shared" si="231"/>
        <v>انبار مصرفي ZU1</v>
      </c>
      <c r="D1802" s="3" t="str">
        <f>"0204000803"</f>
        <v>0204000803</v>
      </c>
      <c r="E1802" s="3" t="str">
        <f>"ورق لاستيك منجيد دار ضخامت 4 ميليمتر"</f>
        <v>ورق لاستيك منجيد دار ضخامت 4 ميليمتر</v>
      </c>
      <c r="F1802" s="3" t="str">
        <f>"کيلوگرم"</f>
        <v>کيلوگرم</v>
      </c>
      <c r="G1802" s="3">
        <v>305</v>
      </c>
      <c r="H1802" s="5">
        <v>26240000</v>
      </c>
    </row>
    <row r="1803" spans="1:8" ht="18.75" x14ac:dyDescent="0.2">
      <c r="A1803" s="3" t="str">
        <f t="shared" si="229"/>
        <v>98/11/26</v>
      </c>
      <c r="B1803" s="3" t="str">
        <f t="shared" si="230"/>
        <v>كالاهاي مصرفي</v>
      </c>
      <c r="C1803" s="3" t="str">
        <f t="shared" si="231"/>
        <v>انبار مصرفي ZU1</v>
      </c>
      <c r="D1803" s="3" t="str">
        <f>"0213000882"</f>
        <v>0213000882</v>
      </c>
      <c r="E1803" s="3" t="str">
        <f>"پوساب برچسب دار P400"</f>
        <v>پوساب برچسب دار P400</v>
      </c>
      <c r="F1803" s="3" t="str">
        <f>"برگ"</f>
        <v>برگ</v>
      </c>
      <c r="G1803" s="3">
        <v>350</v>
      </c>
      <c r="H1803" s="5">
        <v>26250000</v>
      </c>
    </row>
    <row r="1804" spans="1:8" ht="18.75" x14ac:dyDescent="0.2">
      <c r="A1804" s="3" t="str">
        <f t="shared" si="229"/>
        <v>98/11/26</v>
      </c>
      <c r="B1804" s="3" t="str">
        <f t="shared" si="230"/>
        <v>كالاهاي مصرفي</v>
      </c>
      <c r="C1804" s="3" t="str">
        <f t="shared" si="231"/>
        <v>انبار مصرفي ZU1</v>
      </c>
      <c r="D1804" s="3" t="str">
        <f>"0204000707"</f>
        <v>0204000707</v>
      </c>
      <c r="E1804" s="3" t="str">
        <f>"كاسه نمد Mild Steel 40*52*4 AIA"</f>
        <v>كاسه نمد Mild Steel 40*52*4 AIA</v>
      </c>
      <c r="F1804" s="3" t="str">
        <f>"عدد"</f>
        <v>عدد</v>
      </c>
      <c r="G1804" s="3">
        <v>60</v>
      </c>
      <c r="H1804" s="5">
        <v>26340000</v>
      </c>
    </row>
    <row r="1805" spans="1:8" ht="18.75" x14ac:dyDescent="0.2">
      <c r="A1805" s="3" t="str">
        <f t="shared" si="229"/>
        <v>98/11/26</v>
      </c>
      <c r="B1805" s="3" t="str">
        <f t="shared" si="230"/>
        <v>كالاهاي مصرفي</v>
      </c>
      <c r="C1805" s="3" t="str">
        <f t="shared" si="231"/>
        <v>انبار مصرفي ZU1</v>
      </c>
      <c r="D1805" s="3" t="str">
        <f>"0213000856"</f>
        <v>0213000856</v>
      </c>
      <c r="E1805" s="3" t="str">
        <f>"سمباده رولي P120"</f>
        <v>سمباده رولي P120</v>
      </c>
      <c r="F1805" s="3" t="str">
        <f>"رول"</f>
        <v>رول</v>
      </c>
      <c r="G1805" s="3">
        <v>8</v>
      </c>
      <c r="H1805" s="5">
        <v>26400000</v>
      </c>
    </row>
    <row r="1806" spans="1:8" ht="18.75" x14ac:dyDescent="0.2">
      <c r="A1806" s="3" t="str">
        <f t="shared" si="229"/>
        <v>98/11/26</v>
      </c>
      <c r="B1806" s="3" t="str">
        <f t="shared" si="230"/>
        <v>كالاهاي مصرفي</v>
      </c>
      <c r="C1806" s="3" t="str">
        <f t="shared" si="231"/>
        <v>انبار مصرفي ZU1</v>
      </c>
      <c r="D1806" s="3" t="str">
        <f>"0204001624"</f>
        <v>0204001624</v>
      </c>
      <c r="E1806" s="3" t="str">
        <f>"تسمه SPC 5000"</f>
        <v>تسمه SPC 5000</v>
      </c>
      <c r="F1806" s="3" t="str">
        <f>"حلقه"</f>
        <v>حلقه</v>
      </c>
      <c r="G1806" s="3">
        <v>19</v>
      </c>
      <c r="H1806" s="5">
        <v>26600000</v>
      </c>
    </row>
    <row r="1807" spans="1:8" ht="18.75" x14ac:dyDescent="0.2">
      <c r="A1807" s="3" t="str">
        <f t="shared" si="229"/>
        <v>98/11/26</v>
      </c>
      <c r="B1807" s="3" t="str">
        <f t="shared" si="230"/>
        <v>كالاهاي مصرفي</v>
      </c>
      <c r="C1807" s="3" t="str">
        <f t="shared" si="231"/>
        <v>انبار مصرفي ZU1</v>
      </c>
      <c r="D1807" s="3" t="str">
        <f>"0204001718"</f>
        <v>0204001718</v>
      </c>
      <c r="E1807" s="3" t="str">
        <f>"بيرينگ7312BECBM"</f>
        <v>بيرينگ7312BECBM</v>
      </c>
      <c r="F1807" s="3" t="str">
        <f>"عدد"</f>
        <v>عدد</v>
      </c>
      <c r="G1807" s="3">
        <v>9</v>
      </c>
      <c r="H1807" s="5">
        <v>26600000</v>
      </c>
    </row>
    <row r="1808" spans="1:8" ht="18.75" x14ac:dyDescent="0.2">
      <c r="A1808" s="3" t="str">
        <f t="shared" si="229"/>
        <v>98/11/26</v>
      </c>
      <c r="B1808" s="3" t="str">
        <f t="shared" si="230"/>
        <v>كالاهاي مصرفي</v>
      </c>
      <c r="C1808" s="3" t="str">
        <f t="shared" si="231"/>
        <v>انبار مصرفي ZU1</v>
      </c>
      <c r="D1808" s="3" t="str">
        <f>"0204001972"</f>
        <v>0204001972</v>
      </c>
      <c r="E1808" s="3" t="str">
        <f>"بوش چدني با قطر داخلي 160 و قطر خارجي 180 و ارتفاع 38 ميليمتر"</f>
        <v>بوش چدني با قطر داخلي 160 و قطر خارجي 180 و ارتفاع 38 ميليمتر</v>
      </c>
      <c r="F1808" s="3" t="str">
        <f>"عدد"</f>
        <v>عدد</v>
      </c>
      <c r="G1808" s="3">
        <v>7</v>
      </c>
      <c r="H1808" s="5">
        <v>26600000</v>
      </c>
    </row>
    <row r="1809" spans="1:8" ht="18.75" x14ac:dyDescent="0.2">
      <c r="A1809" s="3" t="str">
        <f t="shared" si="229"/>
        <v>98/11/26</v>
      </c>
      <c r="B1809" s="3" t="str">
        <f t="shared" si="230"/>
        <v>كالاهاي مصرفي</v>
      </c>
      <c r="C1809" s="3" t="str">
        <f t="shared" si="231"/>
        <v>انبار مصرفي ZU1</v>
      </c>
      <c r="D1809" s="3" t="str">
        <f>"0211001743"</f>
        <v>0211001743</v>
      </c>
      <c r="E1809" s="3" t="str">
        <f>"شيم پليت ضخامت 0/5 به ابعاد 200 *200"</f>
        <v>شيم پليت ضخامت 0/5 به ابعاد 200 *200</v>
      </c>
      <c r="F1809" s="3" t="str">
        <f>"عدد"</f>
        <v>عدد</v>
      </c>
      <c r="G1809" s="3">
        <v>64</v>
      </c>
      <c r="H1809" s="5">
        <v>26688000</v>
      </c>
    </row>
    <row r="1810" spans="1:8" ht="18.75" x14ac:dyDescent="0.2">
      <c r="A1810" s="3" t="str">
        <f t="shared" si="229"/>
        <v>98/11/26</v>
      </c>
      <c r="B1810" s="3" t="str">
        <f t="shared" si="230"/>
        <v>كالاهاي مصرفي</v>
      </c>
      <c r="C1810" s="3" t="str">
        <f t="shared" si="231"/>
        <v>انبار مصرفي ZU1</v>
      </c>
      <c r="D1810" s="3" t="str">
        <f>"0204001256"</f>
        <v>0204001256</v>
      </c>
      <c r="E1810" s="3" t="str">
        <f>"ورق لاستيك منجيد دار ضخامت 1سانتي متر"</f>
        <v>ورق لاستيك منجيد دار ضخامت 1سانتي متر</v>
      </c>
      <c r="F1810" s="3" t="str">
        <f>"کيلوگرم"</f>
        <v>کيلوگرم</v>
      </c>
      <c r="G1810" s="3">
        <v>103</v>
      </c>
      <c r="H1810" s="5">
        <v>26780000</v>
      </c>
    </row>
    <row r="1811" spans="1:8" ht="18.75" x14ac:dyDescent="0.2">
      <c r="A1811" s="3" t="str">
        <f t="shared" si="229"/>
        <v>98/11/26</v>
      </c>
      <c r="B1811" s="3" t="str">
        <f t="shared" si="230"/>
        <v>كالاهاي مصرفي</v>
      </c>
      <c r="C1811" s="3" t="str">
        <f>"انبار مركزي ( عمومي )"</f>
        <v>انبار مركزي ( عمومي )</v>
      </c>
      <c r="D1811" s="3" t="str">
        <f>"0213000318"</f>
        <v>0213000318</v>
      </c>
      <c r="E1811" s="3" t="str">
        <f>"برس سيمي سر دريلي استيل"</f>
        <v>برس سيمي سر دريلي استيل</v>
      </c>
      <c r="F1811" s="3" t="str">
        <f>"عدد"</f>
        <v>عدد</v>
      </c>
      <c r="G1811" s="3">
        <v>159</v>
      </c>
      <c r="H1811" s="5">
        <v>26870201</v>
      </c>
    </row>
    <row r="1812" spans="1:8" ht="18.75" x14ac:dyDescent="0.2">
      <c r="A1812" s="3" t="str">
        <f t="shared" si="229"/>
        <v>98/11/26</v>
      </c>
      <c r="B1812" s="3" t="str">
        <f t="shared" si="230"/>
        <v>كالاهاي مصرفي</v>
      </c>
      <c r="C1812" s="3" t="str">
        <f>"انبار مصرفي ZU1"</f>
        <v>انبار مصرفي ZU1</v>
      </c>
      <c r="D1812" s="3" t="str">
        <f>"0106000081"</f>
        <v>0106000081</v>
      </c>
      <c r="E1812" s="3" t="str">
        <f>"گريس Mobile  XHP 222 سطل 18  كيلويي"</f>
        <v>گريس Mobile  XHP 222 سطل 18  كيلويي</v>
      </c>
      <c r="F1812" s="3" t="str">
        <f>"سطل"</f>
        <v>سطل</v>
      </c>
      <c r="G1812" s="3">
        <v>5</v>
      </c>
      <c r="H1812" s="5">
        <v>27000000</v>
      </c>
    </row>
    <row r="1813" spans="1:8" ht="18.75" x14ac:dyDescent="0.2">
      <c r="A1813" s="3" t="str">
        <f t="shared" si="229"/>
        <v>98/11/26</v>
      </c>
      <c r="B1813" s="3" t="str">
        <f t="shared" si="230"/>
        <v>كالاهاي مصرفي</v>
      </c>
      <c r="C1813" s="3" t="str">
        <f>"انبار مصرفي ZU1"</f>
        <v>انبار مصرفي ZU1</v>
      </c>
      <c r="D1813" s="3" t="str">
        <f>"0204002214"</f>
        <v>0204002214</v>
      </c>
      <c r="E1813" s="3" t="str">
        <f>"بيرينگ 6318 - C3"</f>
        <v>بيرينگ 6318 - C3</v>
      </c>
      <c r="F1813" s="3" t="str">
        <f t="shared" ref="F1813:F1818" si="232">"عدد"</f>
        <v>عدد</v>
      </c>
      <c r="G1813" s="3">
        <v>2</v>
      </c>
      <c r="H1813" s="5">
        <v>27000000</v>
      </c>
    </row>
    <row r="1814" spans="1:8" ht="18.75" x14ac:dyDescent="0.2">
      <c r="A1814" s="3" t="str">
        <f t="shared" si="229"/>
        <v>98/11/26</v>
      </c>
      <c r="B1814" s="3" t="str">
        <f t="shared" si="230"/>
        <v>كالاهاي مصرفي</v>
      </c>
      <c r="C1814" s="3" t="str">
        <f>"انبار مصرفي ZU1"</f>
        <v>انبار مصرفي ZU1</v>
      </c>
      <c r="D1814" s="3" t="str">
        <f>"0213000951"</f>
        <v>0213000951</v>
      </c>
      <c r="E1814" s="3" t="str">
        <f>"مهره تنظيم پمپ"</f>
        <v>مهره تنظيم پمپ</v>
      </c>
      <c r="F1814" s="3" t="str">
        <f t="shared" si="232"/>
        <v>عدد</v>
      </c>
      <c r="G1814" s="3">
        <v>1</v>
      </c>
      <c r="H1814" s="5">
        <v>27000000</v>
      </c>
    </row>
    <row r="1815" spans="1:8" ht="18.75" x14ac:dyDescent="0.2">
      <c r="A1815" s="3" t="str">
        <f t="shared" si="229"/>
        <v>98/11/26</v>
      </c>
      <c r="B1815" s="3" t="str">
        <f t="shared" si="230"/>
        <v>كالاهاي مصرفي</v>
      </c>
      <c r="C1815" s="3" t="str">
        <f>"انبار مصرفي ZU1"</f>
        <v>انبار مصرفي ZU1</v>
      </c>
      <c r="D1815" s="3" t="str">
        <f>"0215000197"</f>
        <v>0215000197</v>
      </c>
      <c r="E1815" s="3" t="str">
        <f>"فيلتر روغن RM11,12,13N001"</f>
        <v>فيلتر روغن RM11,12,13N001</v>
      </c>
      <c r="F1815" s="3" t="str">
        <f t="shared" si="232"/>
        <v>عدد</v>
      </c>
      <c r="G1815" s="3">
        <v>5</v>
      </c>
      <c r="H1815" s="5">
        <v>27000000</v>
      </c>
    </row>
    <row r="1816" spans="1:8" ht="18.75" x14ac:dyDescent="0.2">
      <c r="A1816" s="3" t="str">
        <f t="shared" si="229"/>
        <v>98/11/26</v>
      </c>
      <c r="B1816" s="3" t="str">
        <f t="shared" si="230"/>
        <v>كالاهاي مصرفي</v>
      </c>
      <c r="C1816" s="3" t="str">
        <f>"انبار مركزي ( عمومي )"</f>
        <v>انبار مركزي ( عمومي )</v>
      </c>
      <c r="D1816" s="3" t="str">
        <f>"0213000317"</f>
        <v>0213000317</v>
      </c>
      <c r="E1816" s="3" t="str">
        <f>"قفل آويز نمره 60"</f>
        <v>قفل آويز نمره 60</v>
      </c>
      <c r="F1816" s="3" t="str">
        <f t="shared" si="232"/>
        <v>عدد</v>
      </c>
      <c r="G1816" s="3">
        <v>38</v>
      </c>
      <c r="H1816" s="5">
        <v>27147200</v>
      </c>
    </row>
    <row r="1817" spans="1:8" ht="18.75" x14ac:dyDescent="0.2">
      <c r="A1817" s="3" t="str">
        <f t="shared" si="229"/>
        <v>98/11/26</v>
      </c>
      <c r="B1817" s="3" t="str">
        <f t="shared" si="230"/>
        <v>كالاهاي مصرفي</v>
      </c>
      <c r="C1817" s="3" t="str">
        <f>"انبار مصرفي ZU1"</f>
        <v>انبار مصرفي ZU1</v>
      </c>
      <c r="D1817" s="3" t="str">
        <f>"0204001641"</f>
        <v>0204001641</v>
      </c>
      <c r="E1817" s="3" t="str">
        <f>"بيرينگ 7024"</f>
        <v>بيرينگ 7024</v>
      </c>
      <c r="F1817" s="3" t="str">
        <f t="shared" si="232"/>
        <v>عدد</v>
      </c>
      <c r="G1817" s="3">
        <v>4</v>
      </c>
      <c r="H1817" s="5">
        <v>27200000</v>
      </c>
    </row>
    <row r="1818" spans="1:8" ht="18.75" x14ac:dyDescent="0.2">
      <c r="A1818" s="3" t="str">
        <f t="shared" si="229"/>
        <v>98/11/26</v>
      </c>
      <c r="B1818" s="3" t="str">
        <f t="shared" si="230"/>
        <v>كالاهاي مصرفي</v>
      </c>
      <c r="C1818" s="3" t="str">
        <f>"انبار مصرفي ZU1"</f>
        <v>انبار مصرفي ZU1</v>
      </c>
      <c r="D1818" s="3" t="str">
        <f>"1002000221"</f>
        <v>1002000221</v>
      </c>
      <c r="E1818" s="3" t="str">
        <f>"چرخ دنده شانه اي ولو"</f>
        <v>چرخ دنده شانه اي ولو</v>
      </c>
      <c r="F1818" s="3" t="str">
        <f t="shared" si="232"/>
        <v>عدد</v>
      </c>
      <c r="G1818" s="3">
        <v>29</v>
      </c>
      <c r="H1818" s="5">
        <v>27550000</v>
      </c>
    </row>
    <row r="1819" spans="1:8" ht="18.75" x14ac:dyDescent="0.2">
      <c r="A1819" s="3" t="str">
        <f t="shared" si="229"/>
        <v>98/11/26</v>
      </c>
      <c r="B1819" s="3" t="str">
        <f t="shared" si="230"/>
        <v>كالاهاي مصرفي</v>
      </c>
      <c r="C1819" s="3" t="str">
        <f>"انبار مركزي ( عمومي )"</f>
        <v>انبار مركزي ( عمومي )</v>
      </c>
      <c r="D1819" s="3" t="str">
        <f>"0213000570"</f>
        <v>0213000570</v>
      </c>
      <c r="E1819" s="3" t="str">
        <f>"پوساب P1500 معمولي"</f>
        <v>پوساب P1500 معمولي</v>
      </c>
      <c r="F1819" s="3" t="str">
        <f>"برگ"</f>
        <v>برگ</v>
      </c>
      <c r="G1819" s="3">
        <v>950</v>
      </c>
      <c r="H1819" s="5">
        <v>27570761</v>
      </c>
    </row>
    <row r="1820" spans="1:8" ht="18.75" x14ac:dyDescent="0.2">
      <c r="A1820" s="3" t="str">
        <f t="shared" si="229"/>
        <v>98/11/26</v>
      </c>
      <c r="B1820" s="3" t="str">
        <f t="shared" si="230"/>
        <v>كالاهاي مصرفي</v>
      </c>
      <c r="C1820" s="3" t="str">
        <f>"انبار مصرفي ZU1"</f>
        <v>انبار مصرفي ZU1</v>
      </c>
      <c r="D1820" s="3" t="str">
        <f>"0204000134"</f>
        <v>0204000134</v>
      </c>
      <c r="E1820" s="3" t="str">
        <f>"پكينگ آبندي فشاري12* 12 تفلون خالص"</f>
        <v>پكينگ آبندي فشاري12* 12 تفلون خالص</v>
      </c>
      <c r="F1820" s="3" t="str">
        <f>"کيلوگرم"</f>
        <v>کيلوگرم</v>
      </c>
      <c r="G1820" s="3">
        <v>15</v>
      </c>
      <c r="H1820" s="5">
        <v>27600000</v>
      </c>
    </row>
    <row r="1821" spans="1:8" ht="18.75" x14ac:dyDescent="0.2">
      <c r="A1821" s="3" t="str">
        <f t="shared" si="229"/>
        <v>98/11/26</v>
      </c>
      <c r="B1821" s="3" t="str">
        <f t="shared" si="230"/>
        <v>كالاهاي مصرفي</v>
      </c>
      <c r="C1821" s="3" t="str">
        <f>"انبار مركزي ( عمومي )"</f>
        <v>انبار مركزي ( عمومي )</v>
      </c>
      <c r="D1821" s="3" t="str">
        <f>"0906000055"</f>
        <v>0906000055</v>
      </c>
      <c r="E1821" s="3" t="str">
        <f>"كابل شبكه  Cat6"</f>
        <v>كابل شبكه  Cat6</v>
      </c>
      <c r="F1821" s="3" t="str">
        <f>"قرقره"</f>
        <v>قرقره</v>
      </c>
      <c r="G1821" s="3">
        <v>2</v>
      </c>
      <c r="H1821" s="5">
        <v>27653333</v>
      </c>
    </row>
    <row r="1822" spans="1:8" ht="18.75" x14ac:dyDescent="0.2">
      <c r="A1822" s="3" t="str">
        <f t="shared" si="229"/>
        <v>98/11/26</v>
      </c>
      <c r="B1822" s="3" t="str">
        <f t="shared" si="230"/>
        <v>كالاهاي مصرفي</v>
      </c>
      <c r="C1822" s="3" t="str">
        <f t="shared" ref="C1822:C1830" si="233">"انبار مصرفي ZU1"</f>
        <v>انبار مصرفي ZU1</v>
      </c>
      <c r="D1822" s="3" t="str">
        <f>"0204001360"</f>
        <v>0204001360</v>
      </c>
      <c r="E1822" s="3" t="str">
        <f>"اورينگ HNBR580*10"</f>
        <v>اورينگ HNBR580*10</v>
      </c>
      <c r="F1822" s="3" t="str">
        <f>"عدد"</f>
        <v>عدد</v>
      </c>
      <c r="G1822" s="3">
        <v>20</v>
      </c>
      <c r="H1822" s="5">
        <v>27980000</v>
      </c>
    </row>
    <row r="1823" spans="1:8" ht="18.75" x14ac:dyDescent="0.2">
      <c r="A1823" s="3" t="str">
        <f t="shared" si="229"/>
        <v>98/11/26</v>
      </c>
      <c r="B1823" s="3" t="str">
        <f t="shared" si="230"/>
        <v>كالاهاي مصرفي</v>
      </c>
      <c r="C1823" s="3" t="str">
        <f t="shared" si="233"/>
        <v>انبار مصرفي ZU1</v>
      </c>
      <c r="D1823" s="3" t="str">
        <f>"0105000039"</f>
        <v>0105000039</v>
      </c>
      <c r="E1823" s="3" t="str">
        <f>"اسپري مگنوفلاكس  MPI INK 14-HF"</f>
        <v>اسپري مگنوفلاكس  MPI INK 14-HF</v>
      </c>
      <c r="F1823" s="3" t="str">
        <f>"عدد"</f>
        <v>عدد</v>
      </c>
      <c r="G1823" s="3">
        <v>20</v>
      </c>
      <c r="H1823" s="5">
        <v>28000000</v>
      </c>
    </row>
    <row r="1824" spans="1:8" ht="18.75" x14ac:dyDescent="0.2">
      <c r="A1824" s="3" t="str">
        <f t="shared" si="229"/>
        <v>98/11/26</v>
      </c>
      <c r="B1824" s="3" t="str">
        <f t="shared" si="230"/>
        <v>كالاهاي مصرفي</v>
      </c>
      <c r="C1824" s="3" t="str">
        <f t="shared" si="233"/>
        <v>انبار مصرفي ZU1</v>
      </c>
      <c r="D1824" s="3" t="str">
        <f>"0204001158"</f>
        <v>0204001158</v>
      </c>
      <c r="E1824" s="3" t="str">
        <f>"پکينگ آببندي (فشاري) گرافيتي آزبستي 10*10 ميليمتر"</f>
        <v>پکينگ آببندي (فشاري) گرافيتي آزبستي 10*10 ميليمتر</v>
      </c>
      <c r="F1824" s="3" t="str">
        <f>"قرقره"</f>
        <v>قرقره</v>
      </c>
      <c r="G1824" s="3">
        <v>4</v>
      </c>
      <c r="H1824" s="5">
        <v>28000000</v>
      </c>
    </row>
    <row r="1825" spans="1:8" ht="18.75" x14ac:dyDescent="0.2">
      <c r="A1825" s="3" t="str">
        <f t="shared" si="229"/>
        <v>98/11/26</v>
      </c>
      <c r="B1825" s="3" t="str">
        <f t="shared" si="230"/>
        <v>كالاهاي مصرفي</v>
      </c>
      <c r="C1825" s="3" t="str">
        <f t="shared" si="233"/>
        <v>انبار مصرفي ZU1</v>
      </c>
      <c r="D1825" s="3" t="str">
        <f>"0204001159"</f>
        <v>0204001159</v>
      </c>
      <c r="E1825" s="3" t="str">
        <f>"پکينگ آببندي (فشاري) گرافيتي آزبستي 12*12 ميليمتر"</f>
        <v>پکينگ آببندي (فشاري) گرافيتي آزبستي 12*12 ميليمتر</v>
      </c>
      <c r="F1825" s="3" t="str">
        <f>"قرقره"</f>
        <v>قرقره</v>
      </c>
      <c r="G1825" s="3">
        <v>4</v>
      </c>
      <c r="H1825" s="5">
        <v>28000000</v>
      </c>
    </row>
    <row r="1826" spans="1:8" ht="18.75" x14ac:dyDescent="0.2">
      <c r="A1826" s="3" t="str">
        <f t="shared" si="229"/>
        <v>98/11/26</v>
      </c>
      <c r="B1826" s="3" t="str">
        <f t="shared" si="230"/>
        <v>كالاهاي مصرفي</v>
      </c>
      <c r="C1826" s="3" t="str">
        <f t="shared" si="233"/>
        <v>انبار مصرفي ZU1</v>
      </c>
      <c r="D1826" s="3" t="str">
        <f>"0204001161"</f>
        <v>0204001161</v>
      </c>
      <c r="E1826" s="3" t="str">
        <f>"پکينگ آببندي (فشاري) گرافيتي آزبستي 16*16 ميليمتر"</f>
        <v>پکينگ آببندي (فشاري) گرافيتي آزبستي 16*16 ميليمتر</v>
      </c>
      <c r="F1826" s="3" t="str">
        <f>"قرقره"</f>
        <v>قرقره</v>
      </c>
      <c r="G1826" s="3">
        <v>4</v>
      </c>
      <c r="H1826" s="5">
        <v>28000000</v>
      </c>
    </row>
    <row r="1827" spans="1:8" ht="18.75" x14ac:dyDescent="0.2">
      <c r="A1827" s="3" t="str">
        <f t="shared" si="229"/>
        <v>98/11/26</v>
      </c>
      <c r="B1827" s="3" t="str">
        <f t="shared" si="230"/>
        <v>كالاهاي مصرفي</v>
      </c>
      <c r="C1827" s="3" t="str">
        <f t="shared" si="233"/>
        <v>انبار مصرفي ZU1</v>
      </c>
      <c r="D1827" s="3" t="str">
        <f>"0204001193"</f>
        <v>0204001193</v>
      </c>
      <c r="E1827" s="3" t="str">
        <f>"پکينگ آبندي (فشاري) تفلوني 8*8 ميليمتر"</f>
        <v>پکينگ آبندي (فشاري) تفلوني 8*8 ميليمتر</v>
      </c>
      <c r="F1827" s="3" t="str">
        <f>"قرقره"</f>
        <v>قرقره</v>
      </c>
      <c r="G1827" s="3">
        <v>2</v>
      </c>
      <c r="H1827" s="5">
        <v>28000000</v>
      </c>
    </row>
    <row r="1828" spans="1:8" ht="18.75" x14ac:dyDescent="0.2">
      <c r="A1828" s="3" t="str">
        <f t="shared" si="229"/>
        <v>98/11/26</v>
      </c>
      <c r="B1828" s="3" t="str">
        <f t="shared" si="230"/>
        <v>كالاهاي مصرفي</v>
      </c>
      <c r="C1828" s="3" t="str">
        <f t="shared" si="233"/>
        <v>انبار مصرفي ZU1</v>
      </c>
      <c r="D1828" s="3" t="str">
        <f>"0213000970"</f>
        <v>0213000970</v>
      </c>
      <c r="E1828" s="3" t="str">
        <f>"رگولاتور كپسول گاز فشار قوي"</f>
        <v>رگولاتور كپسول گاز فشار قوي</v>
      </c>
      <c r="F1828" s="3" t="str">
        <f>"عدد"</f>
        <v>عدد</v>
      </c>
      <c r="G1828" s="3">
        <v>2</v>
      </c>
      <c r="H1828" s="5">
        <v>28054285</v>
      </c>
    </row>
    <row r="1829" spans="1:8" ht="18.75" x14ac:dyDescent="0.2">
      <c r="A1829" s="3" t="str">
        <f t="shared" si="229"/>
        <v>98/11/26</v>
      </c>
      <c r="B1829" s="3" t="str">
        <f t="shared" si="230"/>
        <v>كالاهاي مصرفي</v>
      </c>
      <c r="C1829" s="3" t="str">
        <f t="shared" si="233"/>
        <v>انبار مصرفي ZU1</v>
      </c>
      <c r="D1829" s="3" t="str">
        <f>"0204000465"</f>
        <v>0204000465</v>
      </c>
      <c r="E1829" s="3" t="str">
        <f>"گسكت مقاوم به بنزين و روغن ضخامت 1"</f>
        <v>گسكت مقاوم به بنزين و روغن ضخامت 1</v>
      </c>
      <c r="F1829" s="3" t="str">
        <f>"متر مربع"</f>
        <v>متر مربع</v>
      </c>
      <c r="G1829" s="3">
        <v>21</v>
      </c>
      <c r="H1829" s="5">
        <v>28085093</v>
      </c>
    </row>
    <row r="1830" spans="1:8" ht="18.75" x14ac:dyDescent="0.2">
      <c r="A1830" s="3" t="str">
        <f t="shared" si="229"/>
        <v>98/11/26</v>
      </c>
      <c r="B1830" s="3" t="str">
        <f t="shared" si="230"/>
        <v>كالاهاي مصرفي</v>
      </c>
      <c r="C1830" s="3" t="str">
        <f t="shared" si="233"/>
        <v>انبار مصرفي ZU1</v>
      </c>
      <c r="D1830" s="3" t="str">
        <f>"0204001305"</f>
        <v>0204001305</v>
      </c>
      <c r="E1830" s="3" t="str">
        <f>"اورينگ HNBR 400*5.8"</f>
        <v>اورينگ HNBR 400*5.8</v>
      </c>
      <c r="F1830" s="3" t="str">
        <f>"عدد"</f>
        <v>عدد</v>
      </c>
      <c r="G1830" s="3">
        <v>30</v>
      </c>
      <c r="H1830" s="5">
        <v>28092500</v>
      </c>
    </row>
    <row r="1831" spans="1:8" ht="18.75" x14ac:dyDescent="0.2">
      <c r="A1831" s="3" t="str">
        <f t="shared" si="229"/>
        <v>98/11/26</v>
      </c>
      <c r="B1831" s="3" t="str">
        <f t="shared" si="230"/>
        <v>كالاهاي مصرفي</v>
      </c>
      <c r="C1831" s="3" t="str">
        <f>"انبار مركزي ( عمومي )"</f>
        <v>انبار مركزي ( عمومي )</v>
      </c>
      <c r="D1831" s="3" t="str">
        <f>"0601000089"</f>
        <v>0601000089</v>
      </c>
      <c r="E1831" s="3" t="str">
        <f>"عينك محافظ چشم پشت كشدار شفاف"</f>
        <v>عينك محافظ چشم پشت كشدار شفاف</v>
      </c>
      <c r="F1831" s="3" t="str">
        <f>"عدد"</f>
        <v>عدد</v>
      </c>
      <c r="G1831" s="3">
        <v>168</v>
      </c>
      <c r="H1831" s="5">
        <v>28175931</v>
      </c>
    </row>
    <row r="1832" spans="1:8" ht="18.75" x14ac:dyDescent="0.2">
      <c r="A1832" s="3" t="str">
        <f t="shared" si="229"/>
        <v>98/11/26</v>
      </c>
      <c r="B1832" s="3" t="str">
        <f t="shared" si="230"/>
        <v>كالاهاي مصرفي</v>
      </c>
      <c r="C1832" s="3" t="str">
        <f>"انبار مصرفي ZU1"</f>
        <v>انبار مصرفي ZU1</v>
      </c>
      <c r="D1832" s="3" t="str">
        <f>"0106000011"</f>
        <v>0106000011</v>
      </c>
      <c r="E1832" s="3" t="str">
        <f>"گريس Kluber Asonic GHY 72"</f>
        <v>گريس Kluber Asonic GHY 72</v>
      </c>
      <c r="F1832" s="3" t="str">
        <f>"کيلوگرم"</f>
        <v>کيلوگرم</v>
      </c>
      <c r="G1832" s="3">
        <v>6</v>
      </c>
      <c r="H1832" s="5">
        <v>28380000</v>
      </c>
    </row>
    <row r="1833" spans="1:8" ht="18.75" x14ac:dyDescent="0.2">
      <c r="A1833" s="3" t="str">
        <f t="shared" si="229"/>
        <v>98/11/26</v>
      </c>
      <c r="B1833" s="3" t="str">
        <f t="shared" si="230"/>
        <v>كالاهاي مصرفي</v>
      </c>
      <c r="C1833" s="3" t="str">
        <f>"انبار مركزي ( عمومي )"</f>
        <v>انبار مركزي ( عمومي )</v>
      </c>
      <c r="D1833" s="3" t="str">
        <f>"0206000210"</f>
        <v>0206000210</v>
      </c>
      <c r="E1833" s="3" t="str">
        <f>"بست كمر بندي پلاستيكي 25 سانتي"</f>
        <v>بست كمر بندي پلاستيكي 25 سانتي</v>
      </c>
      <c r="F1833" s="3" t="str">
        <f>"بسته"</f>
        <v>بسته</v>
      </c>
      <c r="G1833" s="3">
        <v>114</v>
      </c>
      <c r="H1833" s="5">
        <v>28500000</v>
      </c>
    </row>
    <row r="1834" spans="1:8" ht="18.75" x14ac:dyDescent="0.2">
      <c r="A1834" s="3" t="str">
        <f t="shared" si="229"/>
        <v>98/11/26</v>
      </c>
      <c r="B1834" s="3" t="str">
        <f t="shared" si="230"/>
        <v>كالاهاي مصرفي</v>
      </c>
      <c r="C1834" s="3" t="str">
        <f>"انبار مصرفي ZU1"</f>
        <v>انبار مصرفي ZU1</v>
      </c>
      <c r="D1834" s="3" t="str">
        <f>"0209000355"</f>
        <v>0209000355</v>
      </c>
      <c r="E1834" s="3" t="str">
        <f>"خار قفل کن پمپ مدار اول مطابق نقشه 1596-01-1086-01"</f>
        <v>خار قفل کن پمپ مدار اول مطابق نقشه 1596-01-1086-01</v>
      </c>
      <c r="F1834" s="3" t="str">
        <f t="shared" ref="F1834:F1842" si="234">"عدد"</f>
        <v>عدد</v>
      </c>
      <c r="G1834" s="3">
        <v>40</v>
      </c>
      <c r="H1834" s="5">
        <v>28600000</v>
      </c>
    </row>
    <row r="1835" spans="1:8" ht="18.75" x14ac:dyDescent="0.2">
      <c r="A1835" s="3" t="str">
        <f t="shared" si="229"/>
        <v>98/11/26</v>
      </c>
      <c r="B1835" s="3" t="str">
        <f t="shared" si="230"/>
        <v>كالاهاي مصرفي</v>
      </c>
      <c r="C1835" s="3" t="str">
        <f>"انبار مصرفي ZU1"</f>
        <v>انبار مصرفي ZU1</v>
      </c>
      <c r="D1835" s="3" t="str">
        <f>"0209000356"</f>
        <v>0209000356</v>
      </c>
      <c r="E1835" s="3" t="str">
        <f>"خار قفل کن پمپ مدار اول مطابق نقشه 1596-01-1086-02"</f>
        <v>خار قفل کن پمپ مدار اول مطابق نقشه 1596-01-1086-02</v>
      </c>
      <c r="F1835" s="3" t="str">
        <f t="shared" si="234"/>
        <v>عدد</v>
      </c>
      <c r="G1835" s="3">
        <v>40</v>
      </c>
      <c r="H1835" s="5">
        <v>28600000</v>
      </c>
    </row>
    <row r="1836" spans="1:8" ht="18.75" x14ac:dyDescent="0.2">
      <c r="A1836" s="3" t="str">
        <f t="shared" si="229"/>
        <v>98/11/26</v>
      </c>
      <c r="B1836" s="3" t="str">
        <f t="shared" si="230"/>
        <v>كالاهاي مصرفي</v>
      </c>
      <c r="C1836" s="3" t="str">
        <f>"انبار مصرفي ZU1"</f>
        <v>انبار مصرفي ZU1</v>
      </c>
      <c r="D1836" s="3" t="str">
        <f>"0209000357"</f>
        <v>0209000357</v>
      </c>
      <c r="E1836" s="3" t="str">
        <f>"خار قفل کن پمپ مدار اول مطابق نقشه 1596-01-1086-03"</f>
        <v>خار قفل کن پمپ مدار اول مطابق نقشه 1596-01-1086-03</v>
      </c>
      <c r="F1836" s="3" t="str">
        <f t="shared" si="234"/>
        <v>عدد</v>
      </c>
      <c r="G1836" s="3">
        <v>40</v>
      </c>
      <c r="H1836" s="5">
        <v>28600000</v>
      </c>
    </row>
    <row r="1837" spans="1:8" ht="18.75" x14ac:dyDescent="0.2">
      <c r="A1837" s="3" t="str">
        <f t="shared" si="229"/>
        <v>98/11/26</v>
      </c>
      <c r="B1837" s="3" t="str">
        <f t="shared" si="230"/>
        <v>كالاهاي مصرفي</v>
      </c>
      <c r="C1837" s="3" t="str">
        <f>"انبار مركزي ( عمومي )"</f>
        <v>انبار مركزي ( عمومي )</v>
      </c>
      <c r="D1837" s="3" t="str">
        <f>"0206000179"</f>
        <v>0206000179</v>
      </c>
      <c r="E1837" s="3" t="str">
        <f>"تبديل پلي اتيلن 180 *160"</f>
        <v>تبديل پلي اتيلن 180 *160</v>
      </c>
      <c r="F1837" s="3" t="str">
        <f t="shared" si="234"/>
        <v>عدد</v>
      </c>
      <c r="G1837" s="3">
        <v>20</v>
      </c>
      <c r="H1837" s="5">
        <v>28730000</v>
      </c>
    </row>
    <row r="1838" spans="1:8" ht="18.75" x14ac:dyDescent="0.2">
      <c r="A1838" s="3" t="str">
        <f t="shared" si="229"/>
        <v>98/11/26</v>
      </c>
      <c r="B1838" s="3" t="str">
        <f t="shared" si="230"/>
        <v>كالاهاي مصرفي</v>
      </c>
      <c r="C1838" s="3" t="str">
        <f>"انبار مصرفي ZU1"</f>
        <v>انبار مصرفي ZU1</v>
      </c>
      <c r="D1838" s="3" t="str">
        <f>"0204001236"</f>
        <v>0204001236</v>
      </c>
      <c r="E1838" s="3" t="str">
        <f>"ساچمه قطر 57 ميليمتر"</f>
        <v>ساچمه قطر 57 ميليمتر</v>
      </c>
      <c r="F1838" s="3" t="str">
        <f t="shared" si="234"/>
        <v>عدد</v>
      </c>
      <c r="G1838" s="3">
        <v>6</v>
      </c>
      <c r="H1838" s="5">
        <v>28800000</v>
      </c>
    </row>
    <row r="1839" spans="1:8" ht="18.75" x14ac:dyDescent="0.2">
      <c r="A1839" s="3" t="str">
        <f t="shared" si="229"/>
        <v>98/11/26</v>
      </c>
      <c r="B1839" s="3" t="str">
        <f t="shared" si="230"/>
        <v>كالاهاي مصرفي</v>
      </c>
      <c r="C1839" s="3" t="str">
        <f>"انبار مصرفي ZU1"</f>
        <v>انبار مصرفي ZU1</v>
      </c>
      <c r="D1839" s="3" t="str">
        <f>"0304000003"</f>
        <v>0304000003</v>
      </c>
      <c r="E1839" s="3" t="str">
        <f>"شير يكطرفه NRV 10"</f>
        <v>شير يكطرفه NRV 10</v>
      </c>
      <c r="F1839" s="3" t="str">
        <f t="shared" si="234"/>
        <v>عدد</v>
      </c>
      <c r="G1839" s="3">
        <v>6</v>
      </c>
      <c r="H1839" s="5">
        <v>28800000</v>
      </c>
    </row>
    <row r="1840" spans="1:8" ht="18.75" x14ac:dyDescent="0.2">
      <c r="A1840" s="3" t="str">
        <f t="shared" si="229"/>
        <v>98/11/26</v>
      </c>
      <c r="B1840" s="3" t="str">
        <f t="shared" si="230"/>
        <v>كالاهاي مصرفي</v>
      </c>
      <c r="C1840" s="3" t="str">
        <f>"انبار مصرفي ZU1"</f>
        <v>انبار مصرفي ZU1</v>
      </c>
      <c r="D1840" s="3" t="str">
        <f>"0204001914"</f>
        <v>0204001914</v>
      </c>
      <c r="E1840" s="3" t="str">
        <f>"Contact Sleeve (47)VS"</f>
        <v>Contact Sleeve (47)VS</v>
      </c>
      <c r="F1840" s="3" t="str">
        <f t="shared" si="234"/>
        <v>عدد</v>
      </c>
      <c r="G1840" s="3">
        <v>1</v>
      </c>
      <c r="H1840" s="5">
        <v>29000000</v>
      </c>
    </row>
    <row r="1841" spans="1:8" ht="18.75" x14ac:dyDescent="0.2">
      <c r="A1841" s="3" t="str">
        <f t="shared" si="229"/>
        <v>98/11/26</v>
      </c>
      <c r="B1841" s="3" t="str">
        <f t="shared" si="230"/>
        <v>كالاهاي مصرفي</v>
      </c>
      <c r="C1841" s="3" t="str">
        <f>"انبار مصرفي ZU1"</f>
        <v>انبار مصرفي ZU1</v>
      </c>
      <c r="D1841" s="3" t="str">
        <f>"0204001950"</f>
        <v>0204001950</v>
      </c>
      <c r="E1841" s="3" t="str">
        <f>"واشر آببندي اسپيرال SWG A-3-790-850-4,5-1,9"</f>
        <v>واشر آببندي اسپيرال SWG A-3-790-850-4,5-1,9</v>
      </c>
      <c r="F1841" s="3" t="str">
        <f t="shared" si="234"/>
        <v>عدد</v>
      </c>
      <c r="G1841" s="3">
        <v>10</v>
      </c>
      <c r="H1841" s="5">
        <v>29000000</v>
      </c>
    </row>
    <row r="1842" spans="1:8" ht="18.75" x14ac:dyDescent="0.2">
      <c r="A1842" s="3" t="str">
        <f t="shared" si="229"/>
        <v>98/11/26</v>
      </c>
      <c r="B1842" s="3" t="str">
        <f t="shared" si="230"/>
        <v>كالاهاي مصرفي</v>
      </c>
      <c r="C1842" s="3" t="str">
        <f>"انبار مركزي ( عمومي )"</f>
        <v>انبار مركزي ( عمومي )</v>
      </c>
      <c r="D1842" s="3" t="str">
        <f>"0202000114"</f>
        <v>0202000114</v>
      </c>
      <c r="E1842" s="3" t="str">
        <f>"كليد محافظ جان 100A سه فاز"</f>
        <v>كليد محافظ جان 100A سه فاز</v>
      </c>
      <c r="F1842" s="3" t="str">
        <f t="shared" si="234"/>
        <v>عدد</v>
      </c>
      <c r="G1842" s="3">
        <v>8</v>
      </c>
      <c r="H1842" s="5">
        <v>29120000</v>
      </c>
    </row>
    <row r="1843" spans="1:8" ht="18.75" x14ac:dyDescent="0.2">
      <c r="A1843" s="3" t="str">
        <f t="shared" si="229"/>
        <v>98/11/26</v>
      </c>
      <c r="B1843" s="3" t="str">
        <f t="shared" si="230"/>
        <v>كالاهاي مصرفي</v>
      </c>
      <c r="C1843" s="3" t="str">
        <f t="shared" ref="C1843:C1848" si="235">"انبار مصرفي ZU1"</f>
        <v>انبار مصرفي ZU1</v>
      </c>
      <c r="D1843" s="3" t="str">
        <f>"0204001561"</f>
        <v>0204001561</v>
      </c>
      <c r="E1843" s="3" t="str">
        <f>"شمش پلي آميد (كاپرالون) قطر 250mm"</f>
        <v>شمش پلي آميد (كاپرالون) قطر 250mm</v>
      </c>
      <c r="F1843" s="3" t="str">
        <f>"کيلوگرم"</f>
        <v>کيلوگرم</v>
      </c>
      <c r="G1843" s="3">
        <v>60.8</v>
      </c>
      <c r="H1843" s="5">
        <v>29184000</v>
      </c>
    </row>
    <row r="1844" spans="1:8" ht="18.75" x14ac:dyDescent="0.2">
      <c r="A1844" s="3" t="str">
        <f t="shared" si="229"/>
        <v>98/11/26</v>
      </c>
      <c r="B1844" s="3" t="str">
        <f t="shared" si="230"/>
        <v>كالاهاي مصرفي</v>
      </c>
      <c r="C1844" s="3" t="str">
        <f t="shared" si="235"/>
        <v>انبار مصرفي ZU1</v>
      </c>
      <c r="D1844" s="3" t="str">
        <f>"0601000036"</f>
        <v>0601000036</v>
      </c>
      <c r="E1844" s="3" t="str">
        <f>"گوشي صداگير بند دار ( 3M )"</f>
        <v>گوشي صداگير بند دار ( 3M )</v>
      </c>
      <c r="F1844" s="3" t="str">
        <f>"عدد"</f>
        <v>عدد</v>
      </c>
      <c r="G1844" s="3">
        <v>778</v>
      </c>
      <c r="H1844" s="5">
        <v>29392914</v>
      </c>
    </row>
    <row r="1845" spans="1:8" ht="18.75" x14ac:dyDescent="0.2">
      <c r="A1845" s="3" t="str">
        <f t="shared" si="229"/>
        <v>98/11/26</v>
      </c>
      <c r="B1845" s="3" t="str">
        <f t="shared" si="230"/>
        <v>كالاهاي مصرفي</v>
      </c>
      <c r="C1845" s="3" t="str">
        <f t="shared" si="235"/>
        <v>انبار مصرفي ZU1</v>
      </c>
      <c r="D1845" s="3" t="str">
        <f>"0211001864"</f>
        <v>0211001864</v>
      </c>
      <c r="E1845" s="3" t="str">
        <f>"مكانيكال سيل MG1/60-G60"</f>
        <v>مكانيكال سيل MG1/60-G60</v>
      </c>
      <c r="F1845" s="3" t="str">
        <f>"عدد"</f>
        <v>عدد</v>
      </c>
      <c r="G1845" s="3">
        <v>4</v>
      </c>
      <c r="H1845" s="5">
        <v>29400000</v>
      </c>
    </row>
    <row r="1846" spans="1:8" ht="18.75" x14ac:dyDescent="0.2">
      <c r="A1846" s="3" t="str">
        <f t="shared" si="229"/>
        <v>98/11/26</v>
      </c>
      <c r="B1846" s="3" t="str">
        <f t="shared" si="230"/>
        <v>كالاهاي مصرفي</v>
      </c>
      <c r="C1846" s="3" t="str">
        <f t="shared" si="235"/>
        <v>انبار مصرفي ZU1</v>
      </c>
      <c r="D1846" s="3" t="str">
        <f>"0209000045"</f>
        <v>0209000045</v>
      </c>
      <c r="E1846" s="3" t="str">
        <f>"بوبين سلونوئيد والو 3/4 اينچ"</f>
        <v>بوبين سلونوئيد والو 3/4 اينچ</v>
      </c>
      <c r="F1846" s="3" t="str">
        <f>"عدد"</f>
        <v>عدد</v>
      </c>
      <c r="G1846" s="3">
        <v>5</v>
      </c>
      <c r="H1846" s="5">
        <v>29500000</v>
      </c>
    </row>
    <row r="1847" spans="1:8" ht="18.75" x14ac:dyDescent="0.2">
      <c r="A1847" s="3" t="str">
        <f t="shared" si="229"/>
        <v>98/11/26</v>
      </c>
      <c r="B1847" s="3" t="str">
        <f t="shared" si="230"/>
        <v>كالاهاي مصرفي</v>
      </c>
      <c r="C1847" s="3" t="str">
        <f t="shared" si="235"/>
        <v>انبار مصرفي ZU1</v>
      </c>
      <c r="D1847" s="3" t="str">
        <f>"0204001848"</f>
        <v>0204001848</v>
      </c>
      <c r="E1847" s="3" t="str">
        <f>"گسكت(واشرابندي) مسلح گرافيتي 5000 ضخامت 3 ميليمتر"</f>
        <v>گسكت(واشرابندي) مسلح گرافيتي 5000 ضخامت 3 ميليمتر</v>
      </c>
      <c r="F1847" s="3" t="str">
        <f>"متر مربع"</f>
        <v>متر مربع</v>
      </c>
      <c r="G1847" s="3">
        <v>9</v>
      </c>
      <c r="H1847" s="5">
        <v>29700000</v>
      </c>
    </row>
    <row r="1848" spans="1:8" ht="18.75" x14ac:dyDescent="0.2">
      <c r="A1848" s="3" t="str">
        <f t="shared" si="229"/>
        <v>98/11/26</v>
      </c>
      <c r="B1848" s="3" t="str">
        <f t="shared" si="230"/>
        <v>كالاهاي مصرفي</v>
      </c>
      <c r="C1848" s="3" t="str">
        <f t="shared" si="235"/>
        <v>انبار مصرفي ZU1</v>
      </c>
      <c r="D1848" s="3" t="str">
        <f>"0204002094"</f>
        <v>0204002094</v>
      </c>
      <c r="E1848" s="3" t="str">
        <f>"بيرينگ 1310C3"</f>
        <v>بيرينگ 1310C3</v>
      </c>
      <c r="F1848" s="3" t="str">
        <f>"عدد"</f>
        <v>عدد</v>
      </c>
      <c r="G1848" s="3">
        <v>6</v>
      </c>
      <c r="H1848" s="5">
        <v>29700000</v>
      </c>
    </row>
    <row r="1849" spans="1:8" ht="18.75" x14ac:dyDescent="0.2">
      <c r="A1849" s="3" t="str">
        <f t="shared" si="229"/>
        <v>98/11/26</v>
      </c>
      <c r="B1849" s="3" t="str">
        <f t="shared" si="230"/>
        <v>كالاهاي مصرفي</v>
      </c>
      <c r="C1849" s="3" t="str">
        <f>"انبار مركزي ( عمومي )"</f>
        <v>انبار مركزي ( عمومي )</v>
      </c>
      <c r="D1849" s="3" t="str">
        <f>"0107000002"</f>
        <v>0107000002</v>
      </c>
      <c r="E1849" s="3" t="str">
        <f>"پودر لباسشويي ماشيني 500 گرمي"</f>
        <v>پودر لباسشويي ماشيني 500 گرمي</v>
      </c>
      <c r="F1849" s="3" t="str">
        <f>"بسته"</f>
        <v>بسته</v>
      </c>
      <c r="G1849" s="3">
        <v>398</v>
      </c>
      <c r="H1849" s="5">
        <v>29741732</v>
      </c>
    </row>
    <row r="1850" spans="1:8" ht="18.75" x14ac:dyDescent="0.2">
      <c r="A1850" s="3" t="str">
        <f t="shared" si="229"/>
        <v>98/11/26</v>
      </c>
      <c r="B1850" s="3" t="str">
        <f t="shared" si="230"/>
        <v>كالاهاي مصرفي</v>
      </c>
      <c r="C1850" s="3" t="str">
        <f>"انبار مصرفي ZU1"</f>
        <v>انبار مصرفي ZU1</v>
      </c>
      <c r="D1850" s="3" t="str">
        <f>"0204000727"</f>
        <v>0204000727</v>
      </c>
      <c r="E1850" s="3" t="str">
        <f>"كاسه نمد Mild Steel 160*180*13 AIB"</f>
        <v>كاسه نمد Mild Steel 160*180*13 AIB</v>
      </c>
      <c r="F1850" s="3" t="str">
        <f>"عدد"</f>
        <v>عدد</v>
      </c>
      <c r="G1850" s="3">
        <v>50</v>
      </c>
      <c r="H1850" s="5">
        <v>29750000</v>
      </c>
    </row>
    <row r="1851" spans="1:8" ht="18.75" x14ac:dyDescent="0.2">
      <c r="A1851" s="3" t="str">
        <f t="shared" si="229"/>
        <v>98/11/26</v>
      </c>
      <c r="B1851" s="3" t="str">
        <f t="shared" si="230"/>
        <v>كالاهاي مصرفي</v>
      </c>
      <c r="C1851" s="3" t="str">
        <f>"انبار مصرفي ZU1"</f>
        <v>انبار مصرفي ZU1</v>
      </c>
      <c r="D1851" s="3" t="str">
        <f>"0213000221"</f>
        <v>0213000221</v>
      </c>
      <c r="E1851" s="3" t="str">
        <f>"پيچ دوسر رزوه M38*160"</f>
        <v>پيچ دوسر رزوه M38*160</v>
      </c>
      <c r="F1851" s="3" t="str">
        <f>"عدد"</f>
        <v>عدد</v>
      </c>
      <c r="G1851" s="3">
        <v>75</v>
      </c>
      <c r="H1851" s="5">
        <v>29753750</v>
      </c>
    </row>
    <row r="1852" spans="1:8" ht="18.75" x14ac:dyDescent="0.2">
      <c r="A1852" s="3" t="str">
        <f t="shared" si="229"/>
        <v>98/11/26</v>
      </c>
      <c r="B1852" s="3" t="str">
        <f t="shared" si="230"/>
        <v>كالاهاي مصرفي</v>
      </c>
      <c r="C1852" s="3" t="str">
        <f>"انبار مصرفي ZU1"</f>
        <v>انبار مصرفي ZU1</v>
      </c>
      <c r="D1852" s="3" t="str">
        <f>"0213000861"</f>
        <v>0213000861</v>
      </c>
      <c r="E1852" s="3" t="str">
        <f>"سمباده رولي P360"</f>
        <v>سمباده رولي P360</v>
      </c>
      <c r="F1852" s="3" t="str">
        <f>"رول"</f>
        <v>رول</v>
      </c>
      <c r="G1852" s="3">
        <v>9</v>
      </c>
      <c r="H1852" s="5">
        <v>29809091</v>
      </c>
    </row>
    <row r="1853" spans="1:8" ht="18.75" x14ac:dyDescent="0.2">
      <c r="A1853" s="3" t="str">
        <f t="shared" si="229"/>
        <v>98/11/26</v>
      </c>
      <c r="B1853" s="3" t="str">
        <f t="shared" si="230"/>
        <v>كالاهاي مصرفي</v>
      </c>
      <c r="C1853" s="3" t="str">
        <f>"انبار مركزي ( عمومي )"</f>
        <v>انبار مركزي ( عمومي )</v>
      </c>
      <c r="D1853" s="3" t="str">
        <f>"0213000859"</f>
        <v>0213000859</v>
      </c>
      <c r="E1853" s="3" t="str">
        <f>"سمباده رولي P220"</f>
        <v>سمباده رولي P220</v>
      </c>
      <c r="F1853" s="3" t="str">
        <f>"رول"</f>
        <v>رول</v>
      </c>
      <c r="G1853" s="3">
        <v>7</v>
      </c>
      <c r="H1853" s="5">
        <v>29980159</v>
      </c>
    </row>
    <row r="1854" spans="1:8" ht="18.75" x14ac:dyDescent="0.2">
      <c r="A1854" s="3" t="str">
        <f t="shared" si="229"/>
        <v>98/11/26</v>
      </c>
      <c r="B1854" s="3" t="str">
        <f t="shared" si="230"/>
        <v>كالاهاي مصرفي</v>
      </c>
      <c r="C1854" s="3" t="str">
        <f>"انبار مصرفي ZU1"</f>
        <v>انبار مصرفي ZU1</v>
      </c>
      <c r="D1854" s="3" t="str">
        <f>"0106000027"</f>
        <v>0106000027</v>
      </c>
      <c r="E1854" s="3" t="str">
        <f>"روغن پمپ بوش wm100"</f>
        <v>روغن پمپ بوش wm100</v>
      </c>
      <c r="F1854" s="3" t="str">
        <f>"ليتر"</f>
        <v>ليتر</v>
      </c>
      <c r="G1854" s="3">
        <v>40</v>
      </c>
      <c r="H1854" s="5">
        <v>30000000</v>
      </c>
    </row>
    <row r="1855" spans="1:8" ht="18.75" x14ac:dyDescent="0.2">
      <c r="A1855" s="3" t="str">
        <f t="shared" si="229"/>
        <v>98/11/26</v>
      </c>
      <c r="B1855" s="3" t="str">
        <f t="shared" si="230"/>
        <v>كالاهاي مصرفي</v>
      </c>
      <c r="C1855" s="3" t="str">
        <f>"انبار مصرفي ZU1"</f>
        <v>انبار مصرفي ZU1</v>
      </c>
      <c r="D1855" s="3" t="str">
        <f>"0204001207"</f>
        <v>0204001207</v>
      </c>
      <c r="E1855" s="3" t="str">
        <f>"تسمه ذوزنقه اي spc7100LW"</f>
        <v>تسمه ذوزنقه اي spc7100LW</v>
      </c>
      <c r="F1855" s="3" t="str">
        <f>"حلقه"</f>
        <v>حلقه</v>
      </c>
      <c r="G1855" s="3">
        <v>10</v>
      </c>
      <c r="H1855" s="5">
        <v>30000000</v>
      </c>
    </row>
    <row r="1856" spans="1:8" ht="18.75" x14ac:dyDescent="0.2">
      <c r="A1856" s="3" t="str">
        <f t="shared" si="229"/>
        <v>98/11/26</v>
      </c>
      <c r="B1856" s="3" t="str">
        <f t="shared" si="230"/>
        <v>كالاهاي مصرفي</v>
      </c>
      <c r="C1856" s="3" t="str">
        <f>"انبار مصرفي ZU1"</f>
        <v>انبار مصرفي ZU1</v>
      </c>
      <c r="D1856" s="3" t="str">
        <f>"0204001488"</f>
        <v>0204001488</v>
      </c>
      <c r="E1856" s="3" t="str">
        <f>"بيرينگ 7218 BECBM"</f>
        <v>بيرينگ 7218 BECBM</v>
      </c>
      <c r="F1856" s="3" t="str">
        <f>"عدد"</f>
        <v>عدد</v>
      </c>
      <c r="G1856" s="3">
        <v>3</v>
      </c>
      <c r="H1856" s="5">
        <v>30000000</v>
      </c>
    </row>
    <row r="1857" spans="1:8" ht="18.75" x14ac:dyDescent="0.2">
      <c r="A1857" s="3" t="str">
        <f t="shared" si="229"/>
        <v>98/11/26</v>
      </c>
      <c r="B1857" s="3" t="str">
        <f t="shared" si="230"/>
        <v>كالاهاي مصرفي</v>
      </c>
      <c r="C1857" s="3" t="str">
        <f>"انبار مصرفي ZU1"</f>
        <v>انبار مصرفي ZU1</v>
      </c>
      <c r="D1857" s="3" t="str">
        <f>"0209000430"</f>
        <v>0209000430</v>
      </c>
      <c r="E1857" s="3" t="str">
        <f>"چرخ دنده حلزوني شير كنترلي RP22S801"</f>
        <v>چرخ دنده حلزوني شير كنترلي RP22S801</v>
      </c>
      <c r="F1857" s="3" t="str">
        <f>"عدد"</f>
        <v>عدد</v>
      </c>
      <c r="G1857" s="3">
        <v>1</v>
      </c>
      <c r="H1857" s="5">
        <v>30000000</v>
      </c>
    </row>
    <row r="1858" spans="1:8" ht="18.75" x14ac:dyDescent="0.2">
      <c r="A1858" s="3" t="str">
        <f t="shared" ref="A1858:A1921" si="236">"98/11/26"</f>
        <v>98/11/26</v>
      </c>
      <c r="B1858" s="3" t="str">
        <f t="shared" ref="B1858:B1921" si="237">"كالاهاي مصرفي"</f>
        <v>كالاهاي مصرفي</v>
      </c>
      <c r="C1858" s="3" t="str">
        <f>"انبار مصرفي ZU1"</f>
        <v>انبار مصرفي ZU1</v>
      </c>
      <c r="D1858" s="3" t="str">
        <f>"0213001133"</f>
        <v>0213001133</v>
      </c>
      <c r="E1858" s="3" t="str">
        <f>"پيچ فولاد كربن استيل 110*M20"</f>
        <v>پيچ فولاد كربن استيل 110*M20</v>
      </c>
      <c r="F1858" s="3" t="str">
        <f>"عدد"</f>
        <v>عدد</v>
      </c>
      <c r="G1858" s="3">
        <v>24</v>
      </c>
      <c r="H1858" s="5">
        <v>30000000</v>
      </c>
    </row>
    <row r="1859" spans="1:8" ht="18.75" x14ac:dyDescent="0.2">
      <c r="A1859" s="3" t="str">
        <f t="shared" si="236"/>
        <v>98/11/26</v>
      </c>
      <c r="B1859" s="3" t="str">
        <f t="shared" si="237"/>
        <v>كالاهاي مصرفي</v>
      </c>
      <c r="C1859" s="3" t="str">
        <f>"انبار مركزي ( عمومي )"</f>
        <v>انبار مركزي ( عمومي )</v>
      </c>
      <c r="D1859" s="3" t="str">
        <f>"0213000271"</f>
        <v>0213000271</v>
      </c>
      <c r="E1859" s="3" t="str">
        <f>"سمباده رولي P800"</f>
        <v>سمباده رولي P800</v>
      </c>
      <c r="F1859" s="3" t="str">
        <f>"رول"</f>
        <v>رول</v>
      </c>
      <c r="G1859" s="3">
        <v>5</v>
      </c>
      <c r="H1859" s="5">
        <v>30250000</v>
      </c>
    </row>
    <row r="1860" spans="1:8" ht="18.75" x14ac:dyDescent="0.2">
      <c r="A1860" s="3" t="str">
        <f t="shared" si="236"/>
        <v>98/11/26</v>
      </c>
      <c r="B1860" s="3" t="str">
        <f t="shared" si="237"/>
        <v>كالاهاي مصرفي</v>
      </c>
      <c r="C1860" s="3" t="str">
        <f t="shared" ref="C1860:C1871" si="238">"انبار مصرفي ZU1"</f>
        <v>انبار مصرفي ZU1</v>
      </c>
      <c r="D1860" s="3" t="str">
        <f>"0213000271"</f>
        <v>0213000271</v>
      </c>
      <c r="E1860" s="3" t="str">
        <f>"سمباده رولي P800"</f>
        <v>سمباده رولي P800</v>
      </c>
      <c r="F1860" s="3" t="str">
        <f>"رول"</f>
        <v>رول</v>
      </c>
      <c r="G1860" s="3">
        <v>5</v>
      </c>
      <c r="H1860" s="5">
        <v>30250000</v>
      </c>
    </row>
    <row r="1861" spans="1:8" ht="18.75" x14ac:dyDescent="0.2">
      <c r="A1861" s="3" t="str">
        <f t="shared" si="236"/>
        <v>98/11/26</v>
      </c>
      <c r="B1861" s="3" t="str">
        <f t="shared" si="237"/>
        <v>كالاهاي مصرفي</v>
      </c>
      <c r="C1861" s="3" t="str">
        <f t="shared" si="238"/>
        <v>انبار مصرفي ZU1</v>
      </c>
      <c r="D1861" s="3" t="str">
        <f>"0204000776"</f>
        <v>0204000776</v>
      </c>
      <c r="E1861" s="3" t="str">
        <f>"بيرينگ 7309"</f>
        <v>بيرينگ 7309</v>
      </c>
      <c r="F1861" s="3" t="str">
        <f>"عدد"</f>
        <v>عدد</v>
      </c>
      <c r="G1861" s="3">
        <v>4</v>
      </c>
      <c r="H1861" s="5">
        <v>30400000</v>
      </c>
    </row>
    <row r="1862" spans="1:8" ht="18.75" x14ac:dyDescent="0.2">
      <c r="A1862" s="3" t="str">
        <f t="shared" si="236"/>
        <v>98/11/26</v>
      </c>
      <c r="B1862" s="3" t="str">
        <f t="shared" si="237"/>
        <v>كالاهاي مصرفي</v>
      </c>
      <c r="C1862" s="3" t="str">
        <f t="shared" si="238"/>
        <v>انبار مصرفي ZU1</v>
      </c>
      <c r="D1862" s="3" t="str">
        <f>"0204001975"</f>
        <v>0204001975</v>
      </c>
      <c r="E1862" s="3" t="str">
        <f>"بوش چدني با قطر داخلي 140 و قطر خارجي 160 و ارتفاع 32 ميليمتر"</f>
        <v>بوش چدني با قطر داخلي 140 و قطر خارجي 160 و ارتفاع 32 ميليمتر</v>
      </c>
      <c r="F1862" s="3" t="str">
        <f>"عدد"</f>
        <v>عدد</v>
      </c>
      <c r="G1862" s="3">
        <v>8</v>
      </c>
      <c r="H1862" s="5">
        <v>30400000</v>
      </c>
    </row>
    <row r="1863" spans="1:8" ht="18.75" x14ac:dyDescent="0.2">
      <c r="A1863" s="3" t="str">
        <f t="shared" si="236"/>
        <v>98/11/26</v>
      </c>
      <c r="B1863" s="3" t="str">
        <f t="shared" si="237"/>
        <v>كالاهاي مصرفي</v>
      </c>
      <c r="C1863" s="3" t="str">
        <f t="shared" si="238"/>
        <v>انبار مصرفي ZU1</v>
      </c>
      <c r="D1863" s="3" t="str">
        <f>"0204001764"</f>
        <v>0204001764</v>
      </c>
      <c r="E1863" s="3" t="str">
        <f>"اورينگ HNBR ضخامت 2.5 ميليمتر"</f>
        <v>اورينگ HNBR ضخامت 2.5 ميليمتر</v>
      </c>
      <c r="F1863" s="3" t="str">
        <f>"متر"</f>
        <v>متر</v>
      </c>
      <c r="G1863" s="3">
        <v>47</v>
      </c>
      <c r="H1863" s="5">
        <v>30597000</v>
      </c>
    </row>
    <row r="1864" spans="1:8" ht="18.75" x14ac:dyDescent="0.2">
      <c r="A1864" s="3" t="str">
        <f t="shared" si="236"/>
        <v>98/11/26</v>
      </c>
      <c r="B1864" s="3" t="str">
        <f t="shared" si="237"/>
        <v>كالاهاي مصرفي</v>
      </c>
      <c r="C1864" s="3" t="str">
        <f t="shared" si="238"/>
        <v>انبار مصرفي ZU1</v>
      </c>
      <c r="D1864" s="3" t="str">
        <f>"0204001969"</f>
        <v>0204001969</v>
      </c>
      <c r="E1864" s="3" t="str">
        <f>"بوش چدني با قطر داخلي 205 و قطر خارجي 225 و ارتفاع 53 ميليمتر"</f>
        <v>بوش چدني با قطر داخلي 205 و قطر خارجي 225 و ارتفاع 53 ميليمتر</v>
      </c>
      <c r="F1864" s="3" t="str">
        <f>"عدد"</f>
        <v>عدد</v>
      </c>
      <c r="G1864" s="3">
        <v>8</v>
      </c>
      <c r="H1864" s="5">
        <v>31200000</v>
      </c>
    </row>
    <row r="1865" spans="1:8" ht="18.75" x14ac:dyDescent="0.2">
      <c r="A1865" s="3" t="str">
        <f t="shared" si="236"/>
        <v>98/11/26</v>
      </c>
      <c r="B1865" s="3" t="str">
        <f t="shared" si="237"/>
        <v>كالاهاي مصرفي</v>
      </c>
      <c r="C1865" s="3" t="str">
        <f t="shared" si="238"/>
        <v>انبار مصرفي ZU1</v>
      </c>
      <c r="D1865" s="3" t="str">
        <f>"0204001160"</f>
        <v>0204001160</v>
      </c>
      <c r="E1865" s="3" t="str">
        <f>"پکينگ آببندي (فشاري) گرافيتي آزبستي 14*14 ميليمتر"</f>
        <v>پکينگ آببندي (فشاري) گرافيتي آزبستي 14*14 ميليمتر</v>
      </c>
      <c r="F1865" s="3" t="str">
        <f>"قرقره"</f>
        <v>قرقره</v>
      </c>
      <c r="G1865" s="3">
        <v>7</v>
      </c>
      <c r="H1865" s="5">
        <v>31305556</v>
      </c>
    </row>
    <row r="1866" spans="1:8" ht="18.75" x14ac:dyDescent="0.2">
      <c r="A1866" s="3" t="str">
        <f t="shared" si="236"/>
        <v>98/11/26</v>
      </c>
      <c r="B1866" s="3" t="str">
        <f t="shared" si="237"/>
        <v>كالاهاي مصرفي</v>
      </c>
      <c r="C1866" s="3" t="str">
        <f t="shared" si="238"/>
        <v>انبار مصرفي ZU1</v>
      </c>
      <c r="D1866" s="3" t="str">
        <f>"0213000826"</f>
        <v>0213000826</v>
      </c>
      <c r="E1866" s="3" t="str">
        <f>"موكت بر (دسته تيغ موکت بر)"</f>
        <v>موكت بر (دسته تيغ موکت بر)</v>
      </c>
      <c r="F1866" s="3" t="str">
        <f>"عدد"</f>
        <v>عدد</v>
      </c>
      <c r="G1866" s="3">
        <v>293</v>
      </c>
      <c r="H1866" s="5">
        <v>31345031</v>
      </c>
    </row>
    <row r="1867" spans="1:8" ht="18.75" x14ac:dyDescent="0.2">
      <c r="A1867" s="3" t="str">
        <f t="shared" si="236"/>
        <v>98/11/26</v>
      </c>
      <c r="B1867" s="3" t="str">
        <f t="shared" si="237"/>
        <v>كالاهاي مصرفي</v>
      </c>
      <c r="C1867" s="3" t="str">
        <f t="shared" si="238"/>
        <v>انبار مصرفي ZU1</v>
      </c>
      <c r="D1867" s="3" t="str">
        <f>"0206000207"</f>
        <v>0206000207</v>
      </c>
      <c r="E1867" s="3" t="str">
        <f>"بست كمربندي پلاستيكي 10 سانتي"</f>
        <v>بست كمربندي پلاستيكي 10 سانتي</v>
      </c>
      <c r="F1867" s="3" t="str">
        <f>"بسته"</f>
        <v>بسته</v>
      </c>
      <c r="G1867" s="3">
        <v>209</v>
      </c>
      <c r="H1867" s="5">
        <v>31403388</v>
      </c>
    </row>
    <row r="1868" spans="1:8" ht="18.75" x14ac:dyDescent="0.2">
      <c r="A1868" s="3" t="str">
        <f t="shared" si="236"/>
        <v>98/11/26</v>
      </c>
      <c r="B1868" s="3" t="str">
        <f t="shared" si="237"/>
        <v>كالاهاي مصرفي</v>
      </c>
      <c r="C1868" s="3" t="str">
        <f t="shared" si="238"/>
        <v>انبار مصرفي ZU1</v>
      </c>
      <c r="D1868" s="3" t="str">
        <f>"0204000404"</f>
        <v>0204000404</v>
      </c>
      <c r="E1868" s="3" t="str">
        <f>"بيرينگ 2Z/C3-6216"</f>
        <v>بيرينگ 2Z/C3-6216</v>
      </c>
      <c r="F1868" s="3" t="str">
        <f>"عدد"</f>
        <v>عدد</v>
      </c>
      <c r="G1868" s="3">
        <v>15</v>
      </c>
      <c r="H1868" s="5">
        <v>31500000</v>
      </c>
    </row>
    <row r="1869" spans="1:8" ht="18.75" x14ac:dyDescent="0.2">
      <c r="A1869" s="3" t="str">
        <f t="shared" si="236"/>
        <v>98/11/26</v>
      </c>
      <c r="B1869" s="3" t="str">
        <f t="shared" si="237"/>
        <v>كالاهاي مصرفي</v>
      </c>
      <c r="C1869" s="3" t="str">
        <f t="shared" si="238"/>
        <v>انبار مصرفي ZU1</v>
      </c>
      <c r="D1869" s="3" t="str">
        <f>"0106000230"</f>
        <v>0106000230</v>
      </c>
      <c r="E1869" s="3" t="str">
        <f>"گريس  MOLYKOTE POLYGLISS N"</f>
        <v>گريس  MOLYKOTE POLYGLISS N</v>
      </c>
      <c r="F1869" s="3" t="str">
        <f>"کيلوگرم"</f>
        <v>کيلوگرم</v>
      </c>
      <c r="G1869" s="3">
        <v>2</v>
      </c>
      <c r="H1869" s="5">
        <v>32000000</v>
      </c>
    </row>
    <row r="1870" spans="1:8" ht="18.75" x14ac:dyDescent="0.2">
      <c r="A1870" s="3" t="str">
        <f t="shared" si="236"/>
        <v>98/11/26</v>
      </c>
      <c r="B1870" s="3" t="str">
        <f t="shared" si="237"/>
        <v>كالاهاي مصرفي</v>
      </c>
      <c r="C1870" s="3" t="str">
        <f t="shared" si="238"/>
        <v>انبار مصرفي ZU1</v>
      </c>
      <c r="D1870" s="3" t="str">
        <f>"0204001956"</f>
        <v>0204001956</v>
      </c>
      <c r="E1870" s="3" t="str">
        <f>"Rotating ring (hi speed shaft) of  SULZER Compressor"</f>
        <v>Rotating ring (hi speed shaft) of  SULZER Compressor</v>
      </c>
      <c r="F1870" s="3" t="str">
        <f>"عدد"</f>
        <v>عدد</v>
      </c>
      <c r="G1870" s="3">
        <v>4</v>
      </c>
      <c r="H1870" s="5">
        <v>32000000</v>
      </c>
    </row>
    <row r="1871" spans="1:8" ht="18.75" x14ac:dyDescent="0.2">
      <c r="A1871" s="3" t="str">
        <f t="shared" si="236"/>
        <v>98/11/26</v>
      </c>
      <c r="B1871" s="3" t="str">
        <f t="shared" si="237"/>
        <v>كالاهاي مصرفي</v>
      </c>
      <c r="C1871" s="3" t="str">
        <f t="shared" si="238"/>
        <v>انبار مصرفي ZU1</v>
      </c>
      <c r="D1871" s="3" t="str">
        <f>"0211001756"</f>
        <v>0211001756</v>
      </c>
      <c r="E1871" s="3" t="str">
        <f>"شيم پليت ضخامت 2 به ابعاد 100 *100"</f>
        <v>شيم پليت ضخامت 2 به ابعاد 100 *100</v>
      </c>
      <c r="F1871" s="3" t="str">
        <f>"عدد"</f>
        <v>عدد</v>
      </c>
      <c r="G1871" s="3">
        <v>70</v>
      </c>
      <c r="H1871" s="5">
        <v>32200000</v>
      </c>
    </row>
    <row r="1872" spans="1:8" ht="18.75" x14ac:dyDescent="0.2">
      <c r="A1872" s="3" t="str">
        <f t="shared" si="236"/>
        <v>98/11/26</v>
      </c>
      <c r="B1872" s="3" t="str">
        <f t="shared" si="237"/>
        <v>كالاهاي مصرفي</v>
      </c>
      <c r="C1872" s="3" t="str">
        <f>"انبار مركزي ( عمومي )"</f>
        <v>انبار مركزي ( عمومي )</v>
      </c>
      <c r="D1872" s="3" t="str">
        <f>"0906000317"</f>
        <v>0906000317</v>
      </c>
      <c r="E1872" s="3" t="str">
        <f>"Toner TN-2280(Fax Brother 2950)"</f>
        <v>Toner TN-2280(Fax Brother 2950)</v>
      </c>
      <c r="F1872" s="3" t="str">
        <f>"عدد"</f>
        <v>عدد</v>
      </c>
      <c r="G1872" s="3">
        <v>20</v>
      </c>
      <c r="H1872" s="5">
        <v>32215385</v>
      </c>
    </row>
    <row r="1873" spans="1:8" ht="18.75" x14ac:dyDescent="0.2">
      <c r="A1873" s="3" t="str">
        <f t="shared" si="236"/>
        <v>98/11/26</v>
      </c>
      <c r="B1873" s="3" t="str">
        <f t="shared" si="237"/>
        <v>كالاهاي مصرفي</v>
      </c>
      <c r="C1873" s="3" t="str">
        <f>"انبار مصرفي ZU1"</f>
        <v>انبار مصرفي ZU1</v>
      </c>
      <c r="D1873" s="3" t="str">
        <f>"0209000556"</f>
        <v>0209000556</v>
      </c>
      <c r="E1873" s="3" t="str">
        <f>"فنر آرام بند درب بيروني"</f>
        <v>فنر آرام بند درب بيروني</v>
      </c>
      <c r="F1873" s="3" t="str">
        <f>"عدد"</f>
        <v>عدد</v>
      </c>
      <c r="G1873" s="3">
        <v>43</v>
      </c>
      <c r="H1873" s="5">
        <v>32250000</v>
      </c>
    </row>
    <row r="1874" spans="1:8" ht="18.75" x14ac:dyDescent="0.2">
      <c r="A1874" s="3" t="str">
        <f t="shared" si="236"/>
        <v>98/11/26</v>
      </c>
      <c r="B1874" s="3" t="str">
        <f t="shared" si="237"/>
        <v>كالاهاي مصرفي</v>
      </c>
      <c r="C1874" s="3" t="str">
        <f>"انبار مصرفي ZU1"</f>
        <v>انبار مصرفي ZU1</v>
      </c>
      <c r="D1874" s="3" t="str">
        <f>"0204002020"</f>
        <v>0204002020</v>
      </c>
      <c r="E1874" s="3" t="str">
        <f>"ضربه گير لاستيکي VF11D001"</f>
        <v>ضربه گير لاستيکي VF11D001</v>
      </c>
      <c r="F1874" s="3" t="str">
        <f>"عدد"</f>
        <v>عدد</v>
      </c>
      <c r="G1874" s="3">
        <v>19</v>
      </c>
      <c r="H1874" s="5">
        <v>32300000</v>
      </c>
    </row>
    <row r="1875" spans="1:8" ht="18.75" x14ac:dyDescent="0.2">
      <c r="A1875" s="3" t="str">
        <f t="shared" si="236"/>
        <v>98/11/26</v>
      </c>
      <c r="B1875" s="3" t="str">
        <f t="shared" si="237"/>
        <v>كالاهاي مصرفي</v>
      </c>
      <c r="C1875" s="3" t="str">
        <f>"انبار مصرفي ZU1"</f>
        <v>انبار مصرفي ZU1</v>
      </c>
      <c r="D1875" s="3" t="str">
        <f>"0601000125"</f>
        <v>0601000125</v>
      </c>
      <c r="E1875" s="3" t="str">
        <f>"دستكش عايق20kv"</f>
        <v>دستكش عايق20kv</v>
      </c>
      <c r="F1875" s="3" t="str">
        <f>"جفت"</f>
        <v>جفت</v>
      </c>
      <c r="G1875" s="3">
        <v>18</v>
      </c>
      <c r="H1875" s="5">
        <v>32400000</v>
      </c>
    </row>
    <row r="1876" spans="1:8" ht="18.75" x14ac:dyDescent="0.2">
      <c r="A1876" s="3" t="str">
        <f t="shared" si="236"/>
        <v>98/11/26</v>
      </c>
      <c r="B1876" s="3" t="str">
        <f t="shared" si="237"/>
        <v>كالاهاي مصرفي</v>
      </c>
      <c r="C1876" s="3" t="str">
        <f>"انبار مصرفي ZU1"</f>
        <v>انبار مصرفي ZU1</v>
      </c>
      <c r="D1876" s="3" t="str">
        <f>"0106000131"</f>
        <v>0106000131</v>
      </c>
      <c r="E1876" s="3" t="str">
        <f>"روغن ترانسفورماتور  Shell Diala D سطل 20 ليتري"</f>
        <v>روغن ترانسفورماتور  Shell Diala D سطل 20 ليتري</v>
      </c>
      <c r="F1876" s="3" t="str">
        <f>"سطل"</f>
        <v>سطل</v>
      </c>
      <c r="G1876" s="3">
        <v>7</v>
      </c>
      <c r="H1876" s="5">
        <v>32500000</v>
      </c>
    </row>
    <row r="1877" spans="1:8" ht="18.75" x14ac:dyDescent="0.2">
      <c r="A1877" s="3" t="str">
        <f t="shared" si="236"/>
        <v>98/11/26</v>
      </c>
      <c r="B1877" s="3" t="str">
        <f t="shared" si="237"/>
        <v>كالاهاي مصرفي</v>
      </c>
      <c r="C1877" s="3" t="str">
        <f>"انبار مصرفي ZU1"</f>
        <v>انبار مصرفي ZU1</v>
      </c>
      <c r="D1877" s="3" t="str">
        <f>"0204001783"</f>
        <v>0204001783</v>
      </c>
      <c r="E1877" s="3" t="str">
        <f>"پکينگ آببندي (فشاري) گرافيتي آزبستي 18*18 ميليمتر"</f>
        <v>پکينگ آببندي (فشاري) گرافيتي آزبستي 18*18 ميليمتر</v>
      </c>
      <c r="F1877" s="3" t="str">
        <f>"قرقره"</f>
        <v>قرقره</v>
      </c>
      <c r="G1877" s="3">
        <v>10</v>
      </c>
      <c r="H1877" s="5">
        <v>32500000</v>
      </c>
    </row>
    <row r="1878" spans="1:8" ht="18.75" x14ac:dyDescent="0.2">
      <c r="A1878" s="3" t="str">
        <f t="shared" si="236"/>
        <v>98/11/26</v>
      </c>
      <c r="B1878" s="3" t="str">
        <f t="shared" si="237"/>
        <v>كالاهاي مصرفي</v>
      </c>
      <c r="C1878" s="3" t="str">
        <f>"انبار مركزي ( عمومي )"</f>
        <v>انبار مركزي ( عمومي )</v>
      </c>
      <c r="D1878" s="3" t="str">
        <f>"0213000347"</f>
        <v>0213000347</v>
      </c>
      <c r="E1878" s="3" t="str">
        <f>"سمباده رولي  P80"</f>
        <v>سمباده رولي  P80</v>
      </c>
      <c r="F1878" s="3" t="str">
        <f>"حلقه"</f>
        <v>حلقه</v>
      </c>
      <c r="G1878" s="3">
        <v>5</v>
      </c>
      <c r="H1878" s="5">
        <v>32500000</v>
      </c>
    </row>
    <row r="1879" spans="1:8" ht="18.75" x14ac:dyDescent="0.2">
      <c r="A1879" s="3" t="str">
        <f t="shared" si="236"/>
        <v>98/11/26</v>
      </c>
      <c r="B1879" s="3" t="str">
        <f t="shared" si="237"/>
        <v>كالاهاي مصرفي</v>
      </c>
      <c r="C1879" s="3" t="str">
        <f>"انبار مركزي ( عمومي )"</f>
        <v>انبار مركزي ( عمومي )</v>
      </c>
      <c r="D1879" s="3" t="str">
        <f>"0213000348"</f>
        <v>0213000348</v>
      </c>
      <c r="E1879" s="3" t="str">
        <f>"سمباده رولي  P400"</f>
        <v>سمباده رولي  P400</v>
      </c>
      <c r="F1879" s="3" t="str">
        <f>"حلقه"</f>
        <v>حلقه</v>
      </c>
      <c r="G1879" s="3">
        <v>5</v>
      </c>
      <c r="H1879" s="5">
        <v>32500000</v>
      </c>
    </row>
    <row r="1880" spans="1:8" ht="18.75" x14ac:dyDescent="0.2">
      <c r="A1880" s="3" t="str">
        <f t="shared" si="236"/>
        <v>98/11/26</v>
      </c>
      <c r="B1880" s="3" t="str">
        <f t="shared" si="237"/>
        <v>كالاهاي مصرفي</v>
      </c>
      <c r="C1880" s="3" t="str">
        <f>"انبار مركزي ( عمومي )"</f>
        <v>انبار مركزي ( عمومي )</v>
      </c>
      <c r="D1880" s="3" t="str">
        <f>"0213000855"</f>
        <v>0213000855</v>
      </c>
      <c r="E1880" s="3" t="str">
        <f>"سمباده رولي P60"</f>
        <v>سمباده رولي P60</v>
      </c>
      <c r="F1880" s="3" t="str">
        <f>"رول"</f>
        <v>رول</v>
      </c>
      <c r="G1880" s="3">
        <v>5</v>
      </c>
      <c r="H1880" s="5">
        <v>32500000</v>
      </c>
    </row>
    <row r="1881" spans="1:8" ht="18.75" x14ac:dyDescent="0.2">
      <c r="A1881" s="3" t="str">
        <f t="shared" si="236"/>
        <v>98/11/26</v>
      </c>
      <c r="B1881" s="3" t="str">
        <f t="shared" si="237"/>
        <v>كالاهاي مصرفي</v>
      </c>
      <c r="C1881" s="3" t="str">
        <f>"انبار مركزي ( عمومي )"</f>
        <v>انبار مركزي ( عمومي )</v>
      </c>
      <c r="D1881" s="3" t="str">
        <f>"0213001038"</f>
        <v>0213001038</v>
      </c>
      <c r="E1881" s="3" t="str">
        <f>"سمباده رولي P100"</f>
        <v>سمباده رولي P100</v>
      </c>
      <c r="F1881" s="3" t="str">
        <f>"عدد"</f>
        <v>عدد</v>
      </c>
      <c r="G1881" s="3">
        <v>5</v>
      </c>
      <c r="H1881" s="5">
        <v>32500000</v>
      </c>
    </row>
    <row r="1882" spans="1:8" ht="18.75" x14ac:dyDescent="0.2">
      <c r="A1882" s="3" t="str">
        <f t="shared" si="236"/>
        <v>98/11/26</v>
      </c>
      <c r="B1882" s="3" t="str">
        <f t="shared" si="237"/>
        <v>كالاهاي مصرفي</v>
      </c>
      <c r="C1882" s="3" t="str">
        <f t="shared" ref="C1882:C1892" si="239">"انبار مصرفي ZU1"</f>
        <v>انبار مصرفي ZU1</v>
      </c>
      <c r="D1882" s="3" t="str">
        <f>"0204002136"</f>
        <v>0204002136</v>
      </c>
      <c r="E1882" s="3" t="str">
        <f>"واشر آببندي اسپيرال 3.5*403*423"</f>
        <v>واشر آببندي اسپيرال 3.5*403*423</v>
      </c>
      <c r="F1882" s="3" t="str">
        <f>"عدد"</f>
        <v>عدد</v>
      </c>
      <c r="G1882" s="3">
        <v>20</v>
      </c>
      <c r="H1882" s="5">
        <v>32600000</v>
      </c>
    </row>
    <row r="1883" spans="1:8" ht="18.75" x14ac:dyDescent="0.2">
      <c r="A1883" s="3" t="str">
        <f t="shared" si="236"/>
        <v>98/11/26</v>
      </c>
      <c r="B1883" s="3" t="str">
        <f t="shared" si="237"/>
        <v>كالاهاي مصرفي</v>
      </c>
      <c r="C1883" s="3" t="str">
        <f t="shared" si="239"/>
        <v>انبار مصرفي ZU1</v>
      </c>
      <c r="D1883" s="3" t="str">
        <f>"0204001521"</f>
        <v>0204001521</v>
      </c>
      <c r="E1883" s="3" t="str">
        <f>"گيربكس حلزوني"</f>
        <v>گيربكس حلزوني</v>
      </c>
      <c r="F1883" s="3" t="str">
        <f>"دستگاه"</f>
        <v>دستگاه</v>
      </c>
      <c r="G1883" s="3">
        <v>2</v>
      </c>
      <c r="H1883" s="5">
        <v>32800000</v>
      </c>
    </row>
    <row r="1884" spans="1:8" ht="18.75" x14ac:dyDescent="0.2">
      <c r="A1884" s="3" t="str">
        <f t="shared" si="236"/>
        <v>98/11/26</v>
      </c>
      <c r="B1884" s="3" t="str">
        <f t="shared" si="237"/>
        <v>كالاهاي مصرفي</v>
      </c>
      <c r="C1884" s="3" t="str">
        <f t="shared" si="239"/>
        <v>انبار مصرفي ZU1</v>
      </c>
      <c r="D1884" s="3" t="str">
        <f>"0106000037"</f>
        <v>0106000037</v>
      </c>
      <c r="E1884" s="3" t="str">
        <f>"روغن shell corena S2R 68"</f>
        <v>روغن shell corena S2R 68</v>
      </c>
      <c r="F1884" s="3" t="str">
        <f>"ليتر"</f>
        <v>ليتر</v>
      </c>
      <c r="G1884" s="3">
        <v>177</v>
      </c>
      <c r="H1884" s="5">
        <v>33187500</v>
      </c>
    </row>
    <row r="1885" spans="1:8" ht="18.75" x14ac:dyDescent="0.2">
      <c r="A1885" s="3" t="str">
        <f t="shared" si="236"/>
        <v>98/11/26</v>
      </c>
      <c r="B1885" s="3" t="str">
        <f t="shared" si="237"/>
        <v>كالاهاي مصرفي</v>
      </c>
      <c r="C1885" s="3" t="str">
        <f t="shared" si="239"/>
        <v>انبار مصرفي ZU1</v>
      </c>
      <c r="D1885" s="3" t="str">
        <f>"0204000824"</f>
        <v>0204000824</v>
      </c>
      <c r="E1885" s="3" t="str">
        <f>"واشر اورينگ رزينيNBR 230( -2) X 5.8"</f>
        <v>واشر اورينگ رزينيNBR 230( -2) X 5.8</v>
      </c>
      <c r="F1885" s="3" t="str">
        <f>"عدد"</f>
        <v>عدد</v>
      </c>
      <c r="G1885" s="3">
        <v>50</v>
      </c>
      <c r="H1885" s="5">
        <v>33250000</v>
      </c>
    </row>
    <row r="1886" spans="1:8" ht="18.75" x14ac:dyDescent="0.2">
      <c r="A1886" s="3" t="str">
        <f t="shared" si="236"/>
        <v>98/11/26</v>
      </c>
      <c r="B1886" s="3" t="str">
        <f t="shared" si="237"/>
        <v>كالاهاي مصرفي</v>
      </c>
      <c r="C1886" s="3" t="str">
        <f t="shared" si="239"/>
        <v>انبار مصرفي ZU1</v>
      </c>
      <c r="D1886" s="3" t="str">
        <f>"0204000633"</f>
        <v>0204000633</v>
      </c>
      <c r="E1886" s="3" t="str">
        <f>"واشر اورينگ رزيني 5.8*(3-)295"</f>
        <v>واشر اورينگ رزيني 5.8*(3-)295</v>
      </c>
      <c r="F1886" s="3" t="str">
        <f>"عدد"</f>
        <v>عدد</v>
      </c>
      <c r="G1886" s="3">
        <v>49</v>
      </c>
      <c r="H1886" s="5">
        <v>33320000</v>
      </c>
    </row>
    <row r="1887" spans="1:8" ht="18.75" x14ac:dyDescent="0.2">
      <c r="A1887" s="3" t="str">
        <f t="shared" si="236"/>
        <v>98/11/26</v>
      </c>
      <c r="B1887" s="3" t="str">
        <f t="shared" si="237"/>
        <v>كالاهاي مصرفي</v>
      </c>
      <c r="C1887" s="3" t="str">
        <f t="shared" si="239"/>
        <v>انبار مصرفي ZU1</v>
      </c>
      <c r="D1887" s="3" t="str">
        <f>"0106000132"</f>
        <v>0106000132</v>
      </c>
      <c r="E1887" s="3" t="str">
        <f>"روغن سيليكون  Mobil Silicone 350 سطل 20 ليتري"</f>
        <v>روغن سيليكون  Mobil Silicone 350 سطل 20 ليتري</v>
      </c>
      <c r="F1887" s="3" t="str">
        <f>"سطل"</f>
        <v>سطل</v>
      </c>
      <c r="G1887" s="3">
        <v>7</v>
      </c>
      <c r="H1887" s="5">
        <v>33500000</v>
      </c>
    </row>
    <row r="1888" spans="1:8" ht="18.75" x14ac:dyDescent="0.2">
      <c r="A1888" s="3" t="str">
        <f t="shared" si="236"/>
        <v>98/11/26</v>
      </c>
      <c r="B1888" s="3" t="str">
        <f t="shared" si="237"/>
        <v>كالاهاي مصرفي</v>
      </c>
      <c r="C1888" s="3" t="str">
        <f t="shared" si="239"/>
        <v>انبار مصرفي ZU1</v>
      </c>
      <c r="D1888" s="3" t="str">
        <f>"0204000831"</f>
        <v>0204000831</v>
      </c>
      <c r="E1888" s="3" t="str">
        <f>"واشر اورينگ رزينيNBR 463( -4) X7"</f>
        <v>واشر اورينگ رزينيNBR 463( -4) X7</v>
      </c>
      <c r="F1888" s="3" t="str">
        <f>"عدد"</f>
        <v>عدد</v>
      </c>
      <c r="G1888" s="3">
        <v>50</v>
      </c>
      <c r="H1888" s="5">
        <v>33500000</v>
      </c>
    </row>
    <row r="1889" spans="1:8" ht="18.75" x14ac:dyDescent="0.2">
      <c r="A1889" s="3" t="str">
        <f t="shared" si="236"/>
        <v>98/11/26</v>
      </c>
      <c r="B1889" s="3" t="str">
        <f t="shared" si="237"/>
        <v>كالاهاي مصرفي</v>
      </c>
      <c r="C1889" s="3" t="str">
        <f t="shared" si="239"/>
        <v>انبار مصرفي ZU1</v>
      </c>
      <c r="D1889" s="3" t="str">
        <f>"0105000168"</f>
        <v>0105000168</v>
      </c>
      <c r="E1889" s="3" t="str">
        <f>"چسب مبدل حرارتي صفحه اي"</f>
        <v>چسب مبدل حرارتي صفحه اي</v>
      </c>
      <c r="F1889" s="3" t="str">
        <f>"کيلوگرم"</f>
        <v>کيلوگرم</v>
      </c>
      <c r="G1889" s="3">
        <v>2</v>
      </c>
      <c r="H1889" s="5">
        <v>33600000</v>
      </c>
    </row>
    <row r="1890" spans="1:8" ht="18.75" x14ac:dyDescent="0.2">
      <c r="A1890" s="3" t="str">
        <f t="shared" si="236"/>
        <v>98/11/26</v>
      </c>
      <c r="B1890" s="3" t="str">
        <f t="shared" si="237"/>
        <v>كالاهاي مصرفي</v>
      </c>
      <c r="C1890" s="3" t="str">
        <f t="shared" si="239"/>
        <v>انبار مصرفي ZU1</v>
      </c>
      <c r="D1890" s="3" t="str">
        <f>"0204001445"</f>
        <v>0204001445</v>
      </c>
      <c r="E1890" s="3" t="str">
        <f>"ورق سيليكون سفيد ضخامت 4 ميل"</f>
        <v>ورق سيليكون سفيد ضخامت 4 ميل</v>
      </c>
      <c r="F1890" s="3" t="str">
        <f>"متر مربع"</f>
        <v>متر مربع</v>
      </c>
      <c r="G1890" s="3">
        <v>16</v>
      </c>
      <c r="H1890" s="5">
        <v>33600000</v>
      </c>
    </row>
    <row r="1891" spans="1:8" ht="18.75" x14ac:dyDescent="0.2">
      <c r="A1891" s="3" t="str">
        <f t="shared" si="236"/>
        <v>98/11/26</v>
      </c>
      <c r="B1891" s="3" t="str">
        <f t="shared" si="237"/>
        <v>كالاهاي مصرفي</v>
      </c>
      <c r="C1891" s="3" t="str">
        <f t="shared" si="239"/>
        <v>انبار مصرفي ZU1</v>
      </c>
      <c r="D1891" s="3" t="str">
        <f>"0204001970"</f>
        <v>0204001970</v>
      </c>
      <c r="E1891" s="3" t="str">
        <f>"بوش چدني با قطر داخلي 230 و قطر خارجي 250 و ارتفاع 53 ميليمتر"</f>
        <v>بوش چدني با قطر داخلي 230 و قطر خارجي 250 و ارتفاع 53 ميليمتر</v>
      </c>
      <c r="F1891" s="3" t="str">
        <f>"عدد"</f>
        <v>عدد</v>
      </c>
      <c r="G1891" s="3">
        <v>8</v>
      </c>
      <c r="H1891" s="5">
        <v>33600000</v>
      </c>
    </row>
    <row r="1892" spans="1:8" ht="18.75" x14ac:dyDescent="0.2">
      <c r="A1892" s="3" t="str">
        <f t="shared" si="236"/>
        <v>98/11/26</v>
      </c>
      <c r="B1892" s="3" t="str">
        <f t="shared" si="237"/>
        <v>كالاهاي مصرفي</v>
      </c>
      <c r="C1892" s="3" t="str">
        <f t="shared" si="239"/>
        <v>انبار مصرفي ZU1</v>
      </c>
      <c r="D1892" s="3" t="str">
        <f>"0206001007"</f>
        <v>0206001007</v>
      </c>
      <c r="E1892" s="3" t="str">
        <f>"درپوش فلنجي هيدرانت STORZ سايز 4 اينچ"</f>
        <v>درپوش فلنجي هيدرانت STORZ سايز 4 اينچ</v>
      </c>
      <c r="F1892" s="3" t="str">
        <f>"عدد"</f>
        <v>عدد</v>
      </c>
      <c r="G1892" s="3">
        <v>14</v>
      </c>
      <c r="H1892" s="5">
        <v>33600000</v>
      </c>
    </row>
    <row r="1893" spans="1:8" ht="18.75" x14ac:dyDescent="0.2">
      <c r="A1893" s="3" t="str">
        <f t="shared" si="236"/>
        <v>98/11/26</v>
      </c>
      <c r="B1893" s="3" t="str">
        <f t="shared" si="237"/>
        <v>كالاهاي مصرفي</v>
      </c>
      <c r="C1893" s="3" t="str">
        <f>"انبار مركزي ( عمومي )"</f>
        <v>انبار مركزي ( عمومي )</v>
      </c>
      <c r="D1893" s="3" t="str">
        <f>"0213000883"</f>
        <v>0213000883</v>
      </c>
      <c r="E1893" s="3" t="str">
        <f>"پوساب برچسب دار P800"</f>
        <v>پوساب برچسب دار P800</v>
      </c>
      <c r="F1893" s="3" t="str">
        <f>"برگ"</f>
        <v>برگ</v>
      </c>
      <c r="G1893" s="3">
        <v>480</v>
      </c>
      <c r="H1893" s="5">
        <v>33600000</v>
      </c>
    </row>
    <row r="1894" spans="1:8" ht="18.75" x14ac:dyDescent="0.2">
      <c r="A1894" s="3" t="str">
        <f t="shared" si="236"/>
        <v>98/11/26</v>
      </c>
      <c r="B1894" s="3" t="str">
        <f t="shared" si="237"/>
        <v>كالاهاي مصرفي</v>
      </c>
      <c r="C1894" s="3" t="str">
        <f>"انبار مصرفي ZU1"</f>
        <v>انبار مصرفي ZU1</v>
      </c>
      <c r="D1894" s="3" t="str">
        <f>"0213000975"</f>
        <v>0213000975</v>
      </c>
      <c r="E1894" s="3" t="str">
        <f>"مهره M27"</f>
        <v>مهره M27</v>
      </c>
      <c r="F1894" s="3" t="str">
        <f>"عدد"</f>
        <v>عدد</v>
      </c>
      <c r="G1894" s="3">
        <v>48</v>
      </c>
      <c r="H1894" s="5">
        <v>33600000</v>
      </c>
    </row>
    <row r="1895" spans="1:8" ht="18.75" x14ac:dyDescent="0.2">
      <c r="A1895" s="3" t="str">
        <f t="shared" si="236"/>
        <v>98/11/26</v>
      </c>
      <c r="B1895" s="3" t="str">
        <f t="shared" si="237"/>
        <v>كالاهاي مصرفي</v>
      </c>
      <c r="C1895" s="3" t="str">
        <f>"انبار مصرفي ZU1"</f>
        <v>انبار مصرفي ZU1</v>
      </c>
      <c r="D1895" s="3" t="str">
        <f>"0204001144"</f>
        <v>0204001144</v>
      </c>
      <c r="E1895" s="3" t="str">
        <f>"گسکت گرافيتي ضخامت 1 ميليمتر"</f>
        <v>گسکت گرافيتي ضخامت 1 ميليمتر</v>
      </c>
      <c r="F1895" s="3" t="str">
        <f>"متر مربع"</f>
        <v>متر مربع</v>
      </c>
      <c r="G1895" s="3">
        <v>46.75</v>
      </c>
      <c r="H1895" s="5">
        <v>33625900</v>
      </c>
    </row>
    <row r="1896" spans="1:8" ht="18.75" x14ac:dyDescent="0.2">
      <c r="A1896" s="3" t="str">
        <f t="shared" si="236"/>
        <v>98/11/26</v>
      </c>
      <c r="B1896" s="3" t="str">
        <f t="shared" si="237"/>
        <v>كالاهاي مصرفي</v>
      </c>
      <c r="C1896" s="3" t="str">
        <f>"انبار مركزي ( عمومي )"</f>
        <v>انبار مركزي ( عمومي )</v>
      </c>
      <c r="D1896" s="3" t="str">
        <f>"0203000075"</f>
        <v>0203000075</v>
      </c>
      <c r="E1896" s="3" t="str">
        <f>"برس سيمي دستي استنلس استيل (مسواكي )"</f>
        <v>برس سيمي دستي استنلس استيل (مسواكي )</v>
      </c>
      <c r="F1896" s="3" t="str">
        <f>"عدد"</f>
        <v>عدد</v>
      </c>
      <c r="G1896" s="3">
        <v>279</v>
      </c>
      <c r="H1896" s="5">
        <v>33982339</v>
      </c>
    </row>
    <row r="1897" spans="1:8" ht="18.75" x14ac:dyDescent="0.2">
      <c r="A1897" s="3" t="str">
        <f t="shared" si="236"/>
        <v>98/11/26</v>
      </c>
      <c r="B1897" s="3" t="str">
        <f t="shared" si="237"/>
        <v>كالاهاي مصرفي</v>
      </c>
      <c r="C1897" s="3" t="str">
        <f t="shared" ref="C1897:C1904" si="240">"انبار مصرفي ZU1"</f>
        <v>انبار مصرفي ZU1</v>
      </c>
      <c r="D1897" s="3" t="str">
        <f>"0106000034"</f>
        <v>0106000034</v>
      </c>
      <c r="E1897" s="3" t="str">
        <f>"تينر شستشو"</f>
        <v>تينر شستشو</v>
      </c>
      <c r="F1897" s="3" t="str">
        <f>"ليتر"</f>
        <v>ليتر</v>
      </c>
      <c r="G1897" s="3">
        <v>100</v>
      </c>
      <c r="H1897" s="5">
        <v>34000000</v>
      </c>
    </row>
    <row r="1898" spans="1:8" ht="18.75" x14ac:dyDescent="0.2">
      <c r="A1898" s="3" t="str">
        <f t="shared" si="236"/>
        <v>98/11/26</v>
      </c>
      <c r="B1898" s="3" t="str">
        <f t="shared" si="237"/>
        <v>كالاهاي مصرفي</v>
      </c>
      <c r="C1898" s="3" t="str">
        <f t="shared" si="240"/>
        <v>انبار مصرفي ZU1</v>
      </c>
      <c r="D1898" s="3" t="str">
        <f>"0204000638"</f>
        <v>0204000638</v>
      </c>
      <c r="E1898" s="3" t="str">
        <f>"واشر اورينگ رزيني 5.8*(3-)345"</f>
        <v>واشر اورينگ رزيني 5.8*(3-)345</v>
      </c>
      <c r="F1898" s="3" t="str">
        <f>"عدد"</f>
        <v>عدد</v>
      </c>
      <c r="G1898" s="3">
        <v>50</v>
      </c>
      <c r="H1898" s="5">
        <v>34000000</v>
      </c>
    </row>
    <row r="1899" spans="1:8" ht="18.75" x14ac:dyDescent="0.2">
      <c r="A1899" s="3" t="str">
        <f t="shared" si="236"/>
        <v>98/11/26</v>
      </c>
      <c r="B1899" s="3" t="str">
        <f t="shared" si="237"/>
        <v>كالاهاي مصرفي</v>
      </c>
      <c r="C1899" s="3" t="str">
        <f t="shared" si="240"/>
        <v>انبار مصرفي ZU1</v>
      </c>
      <c r="D1899" s="3" t="str">
        <f>"0206000848"</f>
        <v>0206000848</v>
      </c>
      <c r="E1899" s="3" t="str">
        <f>"لوله سياه 6اينچ"</f>
        <v>لوله سياه 6اينچ</v>
      </c>
      <c r="F1899" s="3" t="str">
        <f>"شاخه"</f>
        <v>شاخه</v>
      </c>
      <c r="G1899" s="3">
        <v>4</v>
      </c>
      <c r="H1899" s="5">
        <v>34000000</v>
      </c>
    </row>
    <row r="1900" spans="1:8" ht="18.75" x14ac:dyDescent="0.2">
      <c r="A1900" s="3" t="str">
        <f t="shared" si="236"/>
        <v>98/11/26</v>
      </c>
      <c r="B1900" s="3" t="str">
        <f t="shared" si="237"/>
        <v>كالاهاي مصرفي</v>
      </c>
      <c r="C1900" s="3" t="str">
        <f t="shared" si="240"/>
        <v>انبار مصرفي ZU1</v>
      </c>
      <c r="D1900" s="3" t="str">
        <f>"0209000396"</f>
        <v>0209000396</v>
      </c>
      <c r="E1900" s="3" t="str">
        <f>"چرخ دنده شير كنترلي RP22S801"</f>
        <v>چرخ دنده شير كنترلي RP22S801</v>
      </c>
      <c r="F1900" s="3" t="str">
        <f t="shared" ref="F1900:F1908" si="241">"عدد"</f>
        <v>عدد</v>
      </c>
      <c r="G1900" s="3">
        <v>1</v>
      </c>
      <c r="H1900" s="5">
        <v>34000000</v>
      </c>
    </row>
    <row r="1901" spans="1:8" ht="18.75" x14ac:dyDescent="0.2">
      <c r="A1901" s="3" t="str">
        <f t="shared" si="236"/>
        <v>98/11/26</v>
      </c>
      <c r="B1901" s="3" t="str">
        <f t="shared" si="237"/>
        <v>كالاهاي مصرفي</v>
      </c>
      <c r="C1901" s="3" t="str">
        <f t="shared" si="240"/>
        <v>انبار مصرفي ZU1</v>
      </c>
      <c r="D1901" s="3" t="str">
        <f>"0211001753"</f>
        <v>0211001753</v>
      </c>
      <c r="E1901" s="3" t="str">
        <f>"شيم پليت ضخامت 1 به ابعاد 200 *200"</f>
        <v>شيم پليت ضخامت 1 به ابعاد 200 *200</v>
      </c>
      <c r="F1901" s="3" t="str">
        <f t="shared" si="241"/>
        <v>عدد</v>
      </c>
      <c r="G1901" s="3">
        <v>62</v>
      </c>
      <c r="H1901" s="5">
        <v>34100000</v>
      </c>
    </row>
    <row r="1902" spans="1:8" ht="18.75" x14ac:dyDescent="0.2">
      <c r="A1902" s="3" t="str">
        <f t="shared" si="236"/>
        <v>98/11/26</v>
      </c>
      <c r="B1902" s="3" t="str">
        <f t="shared" si="237"/>
        <v>كالاهاي مصرفي</v>
      </c>
      <c r="C1902" s="3" t="str">
        <f t="shared" si="240"/>
        <v>انبار مصرفي ZU1</v>
      </c>
      <c r="D1902" s="3" t="str">
        <f>"0204001964"</f>
        <v>0204001964</v>
      </c>
      <c r="E1902" s="3" t="str">
        <f>"بوش چدني با قطر داخلي 170 و قطر خارجي 190 و ارتفاع 47 ميليمتر"</f>
        <v>بوش چدني با قطر داخلي 170 و قطر خارجي 190 و ارتفاع 47 ميليمتر</v>
      </c>
      <c r="F1902" s="3" t="str">
        <f t="shared" si="241"/>
        <v>عدد</v>
      </c>
      <c r="G1902" s="3">
        <v>9</v>
      </c>
      <c r="H1902" s="5">
        <v>34200000</v>
      </c>
    </row>
    <row r="1903" spans="1:8" ht="18.75" x14ac:dyDescent="0.2">
      <c r="A1903" s="3" t="str">
        <f t="shared" si="236"/>
        <v>98/11/26</v>
      </c>
      <c r="B1903" s="3" t="str">
        <f t="shared" si="237"/>
        <v>كالاهاي مصرفي</v>
      </c>
      <c r="C1903" s="3" t="str">
        <f t="shared" si="240"/>
        <v>انبار مصرفي ZU1</v>
      </c>
      <c r="D1903" s="3" t="str">
        <f>"0204000679"</f>
        <v>0204000679</v>
      </c>
      <c r="E1903" s="3" t="str">
        <f>"واشر اورينگ رزيني NBR 450 ( -5) X 6"</f>
        <v>واشر اورينگ رزيني NBR 450 ( -5) X 6</v>
      </c>
      <c r="F1903" s="3" t="str">
        <f t="shared" si="241"/>
        <v>عدد</v>
      </c>
      <c r="G1903" s="3">
        <v>50</v>
      </c>
      <c r="H1903" s="5">
        <v>34250000</v>
      </c>
    </row>
    <row r="1904" spans="1:8" ht="18.75" x14ac:dyDescent="0.2">
      <c r="A1904" s="3" t="str">
        <f t="shared" si="236"/>
        <v>98/11/26</v>
      </c>
      <c r="B1904" s="3" t="str">
        <f t="shared" si="237"/>
        <v>كالاهاي مصرفي</v>
      </c>
      <c r="C1904" s="3" t="str">
        <f t="shared" si="240"/>
        <v>انبار مصرفي ZU1</v>
      </c>
      <c r="D1904" s="3" t="str">
        <f>"0213000220"</f>
        <v>0213000220</v>
      </c>
      <c r="E1904" s="3" t="str">
        <f>"پيچ دوسر رزوه M36*160"</f>
        <v>پيچ دوسر رزوه M36*160</v>
      </c>
      <c r="F1904" s="3" t="str">
        <f t="shared" si="241"/>
        <v>عدد</v>
      </c>
      <c r="G1904" s="3">
        <v>100</v>
      </c>
      <c r="H1904" s="5">
        <v>34278333</v>
      </c>
    </row>
    <row r="1905" spans="1:8" ht="18.75" x14ac:dyDescent="0.2">
      <c r="A1905" s="3" t="str">
        <f t="shared" si="236"/>
        <v>98/11/26</v>
      </c>
      <c r="B1905" s="3" t="str">
        <f t="shared" si="237"/>
        <v>كالاهاي مصرفي</v>
      </c>
      <c r="C1905" s="3" t="str">
        <f>"انبار مركزي ( عمومي )"</f>
        <v>انبار مركزي ( عمومي )</v>
      </c>
      <c r="D1905" s="3" t="str">
        <f>"0213000256"</f>
        <v>0213000256</v>
      </c>
      <c r="E1905" s="3" t="str">
        <f>"صفحه سنگ سمباده فلاپي P100 -115*22.23mm"</f>
        <v>صفحه سنگ سمباده فلاپي P100 -115*22.23mm</v>
      </c>
      <c r="F1905" s="3" t="str">
        <f t="shared" si="241"/>
        <v>عدد</v>
      </c>
      <c r="G1905" s="3">
        <v>399</v>
      </c>
      <c r="H1905" s="5">
        <v>34294810</v>
      </c>
    </row>
    <row r="1906" spans="1:8" ht="18.75" x14ac:dyDescent="0.2">
      <c r="A1906" s="3" t="str">
        <f t="shared" si="236"/>
        <v>98/11/26</v>
      </c>
      <c r="B1906" s="3" t="str">
        <f t="shared" si="237"/>
        <v>كالاهاي مصرفي</v>
      </c>
      <c r="C1906" s="3" t="str">
        <f>"انبار مصرفي ZU1"</f>
        <v>انبار مصرفي ZU1</v>
      </c>
      <c r="D1906" s="3" t="str">
        <f>"0211002002"</f>
        <v>0211002002</v>
      </c>
      <c r="E1906" s="3" t="str">
        <f>"ضربه گير کوپلينگ پمپ روغن RL12D002,3"</f>
        <v>ضربه گير کوپلينگ پمپ روغن RL12D002,3</v>
      </c>
      <c r="F1906" s="3" t="str">
        <f t="shared" si="241"/>
        <v>عدد</v>
      </c>
      <c r="G1906" s="3">
        <v>22</v>
      </c>
      <c r="H1906" s="5">
        <v>34375000</v>
      </c>
    </row>
    <row r="1907" spans="1:8" ht="18.75" x14ac:dyDescent="0.2">
      <c r="A1907" s="3" t="str">
        <f t="shared" si="236"/>
        <v>98/11/26</v>
      </c>
      <c r="B1907" s="3" t="str">
        <f t="shared" si="237"/>
        <v>كالاهاي مصرفي</v>
      </c>
      <c r="C1907" s="3" t="str">
        <f>"انبار مركزي ( عمومي )"</f>
        <v>انبار مركزي ( عمومي )</v>
      </c>
      <c r="D1907" s="3" t="str">
        <f>"0213000865"</f>
        <v>0213000865</v>
      </c>
      <c r="E1907" s="3" t="str">
        <f>"صفحه سنگ سمباده فلاپي P40 -115*22.23mm"</f>
        <v>صفحه سنگ سمباده فلاپي P40 -115*22.23mm</v>
      </c>
      <c r="F1907" s="3" t="str">
        <f t="shared" si="241"/>
        <v>عدد</v>
      </c>
      <c r="G1907" s="3">
        <v>410</v>
      </c>
      <c r="H1907" s="5">
        <v>34440000</v>
      </c>
    </row>
    <row r="1908" spans="1:8" ht="18.75" x14ac:dyDescent="0.2">
      <c r="A1908" s="3" t="str">
        <f t="shared" si="236"/>
        <v>98/11/26</v>
      </c>
      <c r="B1908" s="3" t="str">
        <f t="shared" si="237"/>
        <v>كالاهاي مصرفي</v>
      </c>
      <c r="C1908" s="3" t="str">
        <f t="shared" ref="C1908:C1919" si="242">"انبار مصرفي ZU1"</f>
        <v>انبار مصرفي ZU1</v>
      </c>
      <c r="D1908" s="3" t="str">
        <f>"0601000089"</f>
        <v>0601000089</v>
      </c>
      <c r="E1908" s="3" t="str">
        <f>"عينك محافظ چشم پشت كشدار شفاف"</f>
        <v>عينك محافظ چشم پشت كشدار شفاف</v>
      </c>
      <c r="F1908" s="3" t="str">
        <f t="shared" si="241"/>
        <v>عدد</v>
      </c>
      <c r="G1908" s="3">
        <v>153</v>
      </c>
      <c r="H1908" s="5">
        <v>34489629</v>
      </c>
    </row>
    <row r="1909" spans="1:8" ht="18.75" x14ac:dyDescent="0.2">
      <c r="A1909" s="3" t="str">
        <f t="shared" si="236"/>
        <v>98/11/26</v>
      </c>
      <c r="B1909" s="3" t="str">
        <f t="shared" si="237"/>
        <v>كالاهاي مصرفي</v>
      </c>
      <c r="C1909" s="3" t="str">
        <f t="shared" si="242"/>
        <v>انبار مصرفي ZU1</v>
      </c>
      <c r="D1909" s="3" t="str">
        <f>"0303000222"</f>
        <v>0303000222</v>
      </c>
      <c r="E1909" s="3" t="str">
        <f>"مانومتر(100-0) bar"</f>
        <v>مانومتر(100-0) bar</v>
      </c>
      <c r="F1909" s="3" t="str">
        <f>"دستگاه"</f>
        <v>دستگاه</v>
      </c>
      <c r="G1909" s="3">
        <v>3</v>
      </c>
      <c r="H1909" s="5">
        <v>34500000</v>
      </c>
    </row>
    <row r="1910" spans="1:8" ht="18.75" x14ac:dyDescent="0.2">
      <c r="A1910" s="3" t="str">
        <f t="shared" si="236"/>
        <v>98/11/26</v>
      </c>
      <c r="B1910" s="3" t="str">
        <f t="shared" si="237"/>
        <v>كالاهاي مصرفي</v>
      </c>
      <c r="C1910" s="3" t="str">
        <f t="shared" si="242"/>
        <v>انبار مصرفي ZU1</v>
      </c>
      <c r="D1910" s="3" t="str">
        <f>"0211001757"</f>
        <v>0211001757</v>
      </c>
      <c r="E1910" s="3" t="str">
        <f>"شيم پليت ضخامت 2 به ابعاد 125 *125"</f>
        <v>شيم پليت ضخامت 2 به ابعاد 125 *125</v>
      </c>
      <c r="F1910" s="3" t="str">
        <f t="shared" ref="F1910:F1916" si="243">"عدد"</f>
        <v>عدد</v>
      </c>
      <c r="G1910" s="3">
        <v>64</v>
      </c>
      <c r="H1910" s="5">
        <v>34560000</v>
      </c>
    </row>
    <row r="1911" spans="1:8" ht="18.75" x14ac:dyDescent="0.2">
      <c r="A1911" s="3" t="str">
        <f t="shared" si="236"/>
        <v>98/11/26</v>
      </c>
      <c r="B1911" s="3" t="str">
        <f t="shared" si="237"/>
        <v>كالاهاي مصرفي</v>
      </c>
      <c r="C1911" s="3" t="str">
        <f t="shared" si="242"/>
        <v>انبار مصرفي ZU1</v>
      </c>
      <c r="D1911" s="3" t="str">
        <f>"0204002213"</f>
        <v>0204002213</v>
      </c>
      <c r="E1911" s="3" t="str">
        <f>"بيرينگ C3-6224"</f>
        <v>بيرينگ C3-6224</v>
      </c>
      <c r="F1911" s="3" t="str">
        <f t="shared" si="243"/>
        <v>عدد</v>
      </c>
      <c r="G1911" s="3">
        <v>2</v>
      </c>
      <c r="H1911" s="5">
        <v>34600000</v>
      </c>
    </row>
    <row r="1912" spans="1:8" ht="18.75" x14ac:dyDescent="0.2">
      <c r="A1912" s="3" t="str">
        <f t="shared" si="236"/>
        <v>98/11/26</v>
      </c>
      <c r="B1912" s="3" t="str">
        <f t="shared" si="237"/>
        <v>كالاهاي مصرفي</v>
      </c>
      <c r="C1912" s="3" t="str">
        <f t="shared" si="242"/>
        <v>انبار مصرفي ZU1</v>
      </c>
      <c r="D1912" s="3" t="str">
        <f>"0204000570"</f>
        <v>0204000570</v>
      </c>
      <c r="E1912" s="3" t="str">
        <f>"بيرينگ J2-32222"</f>
        <v>بيرينگ J2-32222</v>
      </c>
      <c r="F1912" s="3" t="str">
        <f t="shared" si="243"/>
        <v>عدد</v>
      </c>
      <c r="G1912" s="3">
        <v>6</v>
      </c>
      <c r="H1912" s="5">
        <v>34700000</v>
      </c>
    </row>
    <row r="1913" spans="1:8" ht="18.75" x14ac:dyDescent="0.2">
      <c r="A1913" s="3" t="str">
        <f t="shared" si="236"/>
        <v>98/11/26</v>
      </c>
      <c r="B1913" s="3" t="str">
        <f t="shared" si="237"/>
        <v>كالاهاي مصرفي</v>
      </c>
      <c r="C1913" s="3" t="str">
        <f t="shared" si="242"/>
        <v>انبار مصرفي ZU1</v>
      </c>
      <c r="D1913" s="3" t="str">
        <f>"0215000089"</f>
        <v>0215000089</v>
      </c>
      <c r="E1913" s="3" t="str">
        <f>"فيلتر كيسه اي 440*287*592-G4"</f>
        <v>فيلتر كيسه اي 440*287*592-G4</v>
      </c>
      <c r="F1913" s="3" t="str">
        <f t="shared" si="243"/>
        <v>عدد</v>
      </c>
      <c r="G1913" s="3">
        <v>120</v>
      </c>
      <c r="H1913" s="5">
        <v>34800000</v>
      </c>
    </row>
    <row r="1914" spans="1:8" ht="18.75" x14ac:dyDescent="0.2">
      <c r="A1914" s="3" t="str">
        <f t="shared" si="236"/>
        <v>98/11/26</v>
      </c>
      <c r="B1914" s="3" t="str">
        <f t="shared" si="237"/>
        <v>كالاهاي مصرفي</v>
      </c>
      <c r="C1914" s="3" t="str">
        <f t="shared" si="242"/>
        <v>انبار مصرفي ZU1</v>
      </c>
      <c r="D1914" s="3" t="str">
        <f>"0213000229"</f>
        <v>0213000229</v>
      </c>
      <c r="E1914" s="3" t="str">
        <f>"مهره M38"</f>
        <v>مهره M38</v>
      </c>
      <c r="F1914" s="3" t="str">
        <f t="shared" si="243"/>
        <v>عدد</v>
      </c>
      <c r="G1914" s="3">
        <v>373</v>
      </c>
      <c r="H1914" s="5">
        <v>34912800</v>
      </c>
    </row>
    <row r="1915" spans="1:8" ht="18.75" x14ac:dyDescent="0.2">
      <c r="A1915" s="3" t="str">
        <f t="shared" si="236"/>
        <v>98/11/26</v>
      </c>
      <c r="B1915" s="3" t="str">
        <f t="shared" si="237"/>
        <v>كالاهاي مصرفي</v>
      </c>
      <c r="C1915" s="3" t="str">
        <f t="shared" si="242"/>
        <v>انبار مصرفي ZU1</v>
      </c>
      <c r="D1915" s="3" t="str">
        <f>"0106000134"</f>
        <v>0106000134</v>
      </c>
      <c r="E1915" s="3" t="str">
        <f>"گريس نيم كيلويي15A)   Aeroshell)"</f>
        <v>گريس نيم كيلويي15A)   Aeroshell)</v>
      </c>
      <c r="F1915" s="3" t="str">
        <f t="shared" si="243"/>
        <v>عدد</v>
      </c>
      <c r="G1915" s="3">
        <v>20</v>
      </c>
      <c r="H1915" s="5">
        <v>35000000</v>
      </c>
    </row>
    <row r="1916" spans="1:8" ht="18.75" x14ac:dyDescent="0.2">
      <c r="A1916" s="3" t="str">
        <f t="shared" si="236"/>
        <v>98/11/26</v>
      </c>
      <c r="B1916" s="3" t="str">
        <f t="shared" si="237"/>
        <v>كالاهاي مصرفي</v>
      </c>
      <c r="C1916" s="3" t="str">
        <f t="shared" si="242"/>
        <v>انبار مصرفي ZU1</v>
      </c>
      <c r="D1916" s="3" t="str">
        <f>"0204000377"</f>
        <v>0204000377</v>
      </c>
      <c r="E1916" s="3" t="str">
        <f>"بيرينگ E-22314"</f>
        <v>بيرينگ E-22314</v>
      </c>
      <c r="F1916" s="3" t="str">
        <f t="shared" si="243"/>
        <v>عدد</v>
      </c>
      <c r="G1916" s="3">
        <v>2</v>
      </c>
      <c r="H1916" s="5">
        <v>35000000</v>
      </c>
    </row>
    <row r="1917" spans="1:8" ht="18.75" x14ac:dyDescent="0.2">
      <c r="A1917" s="3" t="str">
        <f t="shared" si="236"/>
        <v>98/11/26</v>
      </c>
      <c r="B1917" s="3" t="str">
        <f t="shared" si="237"/>
        <v>كالاهاي مصرفي</v>
      </c>
      <c r="C1917" s="3" t="str">
        <f t="shared" si="242"/>
        <v>انبار مصرفي ZU1</v>
      </c>
      <c r="D1917" s="3" t="str">
        <f>"0204000562"</f>
        <v>0204000562</v>
      </c>
      <c r="E1917" s="3" t="s">
        <v>1</v>
      </c>
      <c r="F1917" s="3" t="s">
        <v>0</v>
      </c>
      <c r="G1917" s="3">
        <v>2</v>
      </c>
      <c r="H1917" s="5">
        <v>35000000</v>
      </c>
    </row>
    <row r="1918" spans="1:8" ht="18.75" x14ac:dyDescent="0.2">
      <c r="A1918" s="3" t="str">
        <f t="shared" si="236"/>
        <v>98/11/26</v>
      </c>
      <c r="B1918" s="3" t="str">
        <f t="shared" si="237"/>
        <v>كالاهاي مصرفي</v>
      </c>
      <c r="C1918" s="3" t="str">
        <f t="shared" si="242"/>
        <v>انبار مصرفي ZU1</v>
      </c>
      <c r="D1918" s="3" t="str">
        <f>"0204001133"</f>
        <v>0204001133</v>
      </c>
      <c r="E1918" s="3" t="str">
        <f>"صفحات لاستيك آببندي مقاوم در مقابل مواد نفتي ضخامت 5"</f>
        <v>صفحات لاستيك آببندي مقاوم در مقابل مواد نفتي ضخامت 5</v>
      </c>
      <c r="F1918" s="3" t="str">
        <f>"متر مربع"</f>
        <v>متر مربع</v>
      </c>
      <c r="G1918" s="3">
        <v>20</v>
      </c>
      <c r="H1918" s="5">
        <v>35000000</v>
      </c>
    </row>
    <row r="1919" spans="1:8" ht="18.75" x14ac:dyDescent="0.2">
      <c r="A1919" s="3" t="str">
        <f t="shared" si="236"/>
        <v>98/11/26</v>
      </c>
      <c r="B1919" s="3" t="str">
        <f t="shared" si="237"/>
        <v>كالاهاي مصرفي</v>
      </c>
      <c r="C1919" s="3" t="str">
        <f t="shared" si="242"/>
        <v>انبار مصرفي ZU1</v>
      </c>
      <c r="D1919" s="3" t="str">
        <f>"0204001973"</f>
        <v>0204001973</v>
      </c>
      <c r="E1919" s="3" t="str">
        <f>"بوش چدني با قطر داخلي 140 و قطر خارجي 160 و ارتفاع 41 ميليمتر"</f>
        <v>بوش چدني با قطر داخلي 140 و قطر خارجي 160 و ارتفاع 41 ميليمتر</v>
      </c>
      <c r="F1919" s="3" t="str">
        <f>"عدد"</f>
        <v>عدد</v>
      </c>
      <c r="G1919" s="3">
        <v>10</v>
      </c>
      <c r="H1919" s="5">
        <v>35000000</v>
      </c>
    </row>
    <row r="1920" spans="1:8" ht="18.75" x14ac:dyDescent="0.2">
      <c r="A1920" s="3" t="str">
        <f t="shared" si="236"/>
        <v>98/11/26</v>
      </c>
      <c r="B1920" s="3" t="str">
        <f t="shared" si="237"/>
        <v>كالاهاي مصرفي</v>
      </c>
      <c r="C1920" s="3" t="str">
        <f>"انبار مركزي ( عمومي )"</f>
        <v>انبار مركزي ( عمومي )</v>
      </c>
      <c r="D1920" s="3" t="str">
        <f>"0206000199"</f>
        <v>0206000199</v>
      </c>
      <c r="E1920" s="3" t="str">
        <f>"بست كمربندي پلاستيكي 30 سانتي"</f>
        <v>بست كمربندي پلاستيكي 30 سانتي</v>
      </c>
      <c r="F1920" s="3" t="str">
        <f>"بسته"</f>
        <v>بسته</v>
      </c>
      <c r="G1920" s="3">
        <v>100</v>
      </c>
      <c r="H1920" s="5">
        <v>35000000</v>
      </c>
    </row>
    <row r="1921" spans="1:8" ht="18.75" x14ac:dyDescent="0.2">
      <c r="A1921" s="3" t="str">
        <f t="shared" si="236"/>
        <v>98/11/26</v>
      </c>
      <c r="B1921" s="3" t="str">
        <f t="shared" si="237"/>
        <v>كالاهاي مصرفي</v>
      </c>
      <c r="C1921" s="3" t="str">
        <f>"انبار مصرفي ZU1"</f>
        <v>انبار مصرفي ZU1</v>
      </c>
      <c r="D1921" s="3" t="str">
        <f>"0209000383"</f>
        <v>0209000383</v>
      </c>
      <c r="E1921" s="3" t="str">
        <f>"محور شير کنترلي RG16S801"</f>
        <v>محور شير کنترلي RG16S801</v>
      </c>
      <c r="F1921" s="3" t="str">
        <f>"عدد"</f>
        <v>عدد</v>
      </c>
      <c r="G1921" s="3">
        <v>1</v>
      </c>
      <c r="H1921" s="5">
        <v>35000000</v>
      </c>
    </row>
    <row r="1922" spans="1:8" ht="18.75" x14ac:dyDescent="0.2">
      <c r="A1922" s="3" t="str">
        <f t="shared" ref="A1922:A1985" si="244">"98/11/26"</f>
        <v>98/11/26</v>
      </c>
      <c r="B1922" s="3" t="str">
        <f t="shared" ref="B1922:B1985" si="245">"كالاهاي مصرفي"</f>
        <v>كالاهاي مصرفي</v>
      </c>
      <c r="C1922" s="3" t="str">
        <f>"انبار مركزي ( عمومي )"</f>
        <v>انبار مركزي ( عمومي )</v>
      </c>
      <c r="D1922" s="3" t="str">
        <f>"0213000880"</f>
        <v>0213000880</v>
      </c>
      <c r="E1922" s="3" t="str">
        <f>"پوساب برچسب دار P80"</f>
        <v>پوساب برچسب دار P80</v>
      </c>
      <c r="F1922" s="3" t="str">
        <f>"برگ"</f>
        <v>برگ</v>
      </c>
      <c r="G1922" s="3">
        <v>370</v>
      </c>
      <c r="H1922" s="5">
        <v>35150000</v>
      </c>
    </row>
    <row r="1923" spans="1:8" ht="18.75" x14ac:dyDescent="0.2">
      <c r="A1923" s="3" t="str">
        <f t="shared" si="244"/>
        <v>98/11/26</v>
      </c>
      <c r="B1923" s="3" t="str">
        <f t="shared" si="245"/>
        <v>كالاهاي مصرفي</v>
      </c>
      <c r="C1923" s="3" t="str">
        <f t="shared" ref="C1923:C1931" si="246">"انبار مصرفي ZU1"</f>
        <v>انبار مصرفي ZU1</v>
      </c>
      <c r="D1923" s="3" t="str">
        <f>"0204001490"</f>
        <v>0204001490</v>
      </c>
      <c r="E1923" s="3" t="str">
        <f>"نمد ضخامت 5 ميلي متر"</f>
        <v>نمد ضخامت 5 ميلي متر</v>
      </c>
      <c r="F1923" s="3" t="str">
        <f>"متر"</f>
        <v>متر</v>
      </c>
      <c r="G1923" s="3">
        <v>11</v>
      </c>
      <c r="H1923" s="5">
        <v>35200000</v>
      </c>
    </row>
    <row r="1924" spans="1:8" ht="18.75" x14ac:dyDescent="0.2">
      <c r="A1924" s="3" t="str">
        <f t="shared" si="244"/>
        <v>98/11/26</v>
      </c>
      <c r="B1924" s="3" t="str">
        <f t="shared" si="245"/>
        <v>كالاهاي مصرفي</v>
      </c>
      <c r="C1924" s="3" t="str">
        <f t="shared" si="246"/>
        <v>انبار مصرفي ZU1</v>
      </c>
      <c r="D1924" s="3" t="str">
        <f>"0204002093"</f>
        <v>0204002093</v>
      </c>
      <c r="E1924" s="3" t="str">
        <f>"بيرينگ 2309ETN9/C3"</f>
        <v>بيرينگ 2309ETN9/C3</v>
      </c>
      <c r="F1924" s="3" t="str">
        <f>"عدد"</f>
        <v>عدد</v>
      </c>
      <c r="G1924" s="3">
        <v>6</v>
      </c>
      <c r="H1924" s="5">
        <v>35700000</v>
      </c>
    </row>
    <row r="1925" spans="1:8" ht="18.75" x14ac:dyDescent="0.2">
      <c r="A1925" s="3" t="str">
        <f t="shared" si="244"/>
        <v>98/11/26</v>
      </c>
      <c r="B1925" s="3" t="str">
        <f t="shared" si="245"/>
        <v>كالاهاي مصرفي</v>
      </c>
      <c r="C1925" s="3" t="str">
        <f t="shared" si="246"/>
        <v>انبار مصرفي ZU1</v>
      </c>
      <c r="D1925" s="3" t="str">
        <f>"0204000667"</f>
        <v>0204000667</v>
      </c>
      <c r="E1925" s="3" t="str">
        <f>"واشر اورينگ رزيني NBR 380(-2) X 5.8"</f>
        <v>واشر اورينگ رزيني NBR 380(-2) X 5.8</v>
      </c>
      <c r="F1925" s="3" t="str">
        <f>"عدد"</f>
        <v>عدد</v>
      </c>
      <c r="G1925" s="3">
        <v>50</v>
      </c>
      <c r="H1925" s="5">
        <v>35750000</v>
      </c>
    </row>
    <row r="1926" spans="1:8" ht="18.75" x14ac:dyDescent="0.2">
      <c r="A1926" s="3" t="str">
        <f t="shared" si="244"/>
        <v>98/11/26</v>
      </c>
      <c r="B1926" s="3" t="str">
        <f t="shared" si="245"/>
        <v>كالاهاي مصرفي</v>
      </c>
      <c r="C1926" s="3" t="str">
        <f t="shared" si="246"/>
        <v>انبار مصرفي ZU1</v>
      </c>
      <c r="D1926" s="3" t="str">
        <f>"0204000267"</f>
        <v>0204000267</v>
      </c>
      <c r="E1926" s="3" t="str">
        <f>"پكينگ آبندي فشاري 20 *20 نخ گرافيت ازبست دار"</f>
        <v>پكينگ آبندي فشاري 20 *20 نخ گرافيت ازبست دار</v>
      </c>
      <c r="F1926" s="3" t="str">
        <f>"کيلوگرم"</f>
        <v>کيلوگرم</v>
      </c>
      <c r="G1926" s="3">
        <v>80</v>
      </c>
      <c r="H1926" s="5">
        <v>36000000</v>
      </c>
    </row>
    <row r="1927" spans="1:8" ht="18.75" x14ac:dyDescent="0.2">
      <c r="A1927" s="3" t="str">
        <f t="shared" si="244"/>
        <v>98/11/26</v>
      </c>
      <c r="B1927" s="3" t="str">
        <f t="shared" si="245"/>
        <v>كالاهاي مصرفي</v>
      </c>
      <c r="C1927" s="3" t="str">
        <f t="shared" si="246"/>
        <v>انبار مصرفي ZU1</v>
      </c>
      <c r="D1927" s="3" t="str">
        <f>"0204001286"</f>
        <v>0204001286</v>
      </c>
      <c r="E1927" s="3" t="str">
        <f>"بيرينگ NU 240 ECMA/C3"</f>
        <v>بيرينگ NU 240 ECMA/C3</v>
      </c>
      <c r="F1927" s="3" t="str">
        <f>"عدد"</f>
        <v>عدد</v>
      </c>
      <c r="G1927" s="3">
        <v>1</v>
      </c>
      <c r="H1927" s="5">
        <v>36000000</v>
      </c>
    </row>
    <row r="1928" spans="1:8" ht="18.75" x14ac:dyDescent="0.2">
      <c r="A1928" s="3" t="str">
        <f t="shared" si="244"/>
        <v>98/11/26</v>
      </c>
      <c r="B1928" s="3" t="str">
        <f t="shared" si="245"/>
        <v>كالاهاي مصرفي</v>
      </c>
      <c r="C1928" s="3" t="str">
        <f t="shared" si="246"/>
        <v>انبار مصرفي ZU1</v>
      </c>
      <c r="D1928" s="3" t="str">
        <f>"0204001138"</f>
        <v>0204001138</v>
      </c>
      <c r="E1928" s="3" t="str">
        <f>"صفحات لاستيك آببندي معمولي ضخامت 5 ميليمتر"</f>
        <v>صفحات لاستيك آببندي معمولي ضخامت 5 ميليمتر</v>
      </c>
      <c r="F1928" s="3" t="str">
        <f>"متر مربع"</f>
        <v>متر مربع</v>
      </c>
      <c r="G1928" s="3">
        <v>45</v>
      </c>
      <c r="H1928" s="5">
        <v>36075000</v>
      </c>
    </row>
    <row r="1929" spans="1:8" ht="18.75" x14ac:dyDescent="0.2">
      <c r="A1929" s="3" t="str">
        <f t="shared" si="244"/>
        <v>98/11/26</v>
      </c>
      <c r="B1929" s="3" t="str">
        <f t="shared" si="245"/>
        <v>كالاهاي مصرفي</v>
      </c>
      <c r="C1929" s="3" t="str">
        <f t="shared" si="246"/>
        <v>انبار مصرفي ZU1</v>
      </c>
      <c r="D1929" s="3" t="str">
        <f>"0204002400"</f>
        <v>0204002400</v>
      </c>
      <c r="E1929" s="3" t="str">
        <f>"تسمه پروانه SPB -3000"</f>
        <v>تسمه پروانه SPB -3000</v>
      </c>
      <c r="F1929" s="3" t="str">
        <f>"حلقه"</f>
        <v>حلقه</v>
      </c>
      <c r="G1929" s="3">
        <v>10</v>
      </c>
      <c r="H1929" s="5">
        <v>36200000</v>
      </c>
    </row>
    <row r="1930" spans="1:8" ht="18.75" x14ac:dyDescent="0.2">
      <c r="A1930" s="3" t="str">
        <f t="shared" si="244"/>
        <v>98/11/26</v>
      </c>
      <c r="B1930" s="3" t="str">
        <f t="shared" si="245"/>
        <v>كالاهاي مصرفي</v>
      </c>
      <c r="C1930" s="3" t="str">
        <f t="shared" si="246"/>
        <v>انبار مصرفي ZU1</v>
      </c>
      <c r="D1930" s="3" t="str">
        <f>"0204001145"</f>
        <v>0204001145</v>
      </c>
      <c r="E1930" s="3" t="str">
        <f>"گسکت گرافيتي ضخامت 2 ميليمتر"</f>
        <v>گسکت گرافيتي ضخامت 2 ميليمتر</v>
      </c>
      <c r="F1930" s="3" t="str">
        <f>"متر مربع"</f>
        <v>متر مربع</v>
      </c>
      <c r="G1930" s="3">
        <v>27.75</v>
      </c>
      <c r="H1930" s="5">
        <v>36345945</v>
      </c>
    </row>
    <row r="1931" spans="1:8" ht="18.75" x14ac:dyDescent="0.2">
      <c r="A1931" s="3" t="str">
        <f t="shared" si="244"/>
        <v>98/11/26</v>
      </c>
      <c r="B1931" s="3" t="str">
        <f t="shared" si="245"/>
        <v>كالاهاي مصرفي</v>
      </c>
      <c r="C1931" s="3" t="str">
        <f t="shared" si="246"/>
        <v>انبار مصرفي ZU1</v>
      </c>
      <c r="D1931" s="3" t="str">
        <f>"0204002299"</f>
        <v>0204002299</v>
      </c>
      <c r="E1931" s="3" t="str">
        <f>"لرزه گير UV70 D001  دستگاه تهويه"</f>
        <v>لرزه گير UV70 D001  دستگاه تهويه</v>
      </c>
      <c r="F1931" s="3" t="str">
        <f>"عدد"</f>
        <v>عدد</v>
      </c>
      <c r="G1931" s="3">
        <v>7</v>
      </c>
      <c r="H1931" s="5">
        <v>36400000</v>
      </c>
    </row>
    <row r="1932" spans="1:8" ht="18.75" x14ac:dyDescent="0.2">
      <c r="A1932" s="3" t="str">
        <f t="shared" si="244"/>
        <v>98/11/26</v>
      </c>
      <c r="B1932" s="3" t="str">
        <f t="shared" si="245"/>
        <v>كالاهاي مصرفي</v>
      </c>
      <c r="C1932" s="3" t="str">
        <f>"انبار مركزي ( عمومي )"</f>
        <v>انبار مركزي ( عمومي )</v>
      </c>
      <c r="D1932" s="3" t="str">
        <f>"0213000789"</f>
        <v>0213000789</v>
      </c>
      <c r="E1932" s="3" t="str">
        <f>"برس كاسه اي  بزرگ"</f>
        <v>برس كاسه اي  بزرگ</v>
      </c>
      <c r="F1932" s="3" t="str">
        <f>"عدد"</f>
        <v>عدد</v>
      </c>
      <c r="G1932" s="3">
        <v>352</v>
      </c>
      <c r="H1932" s="5">
        <v>36960000</v>
      </c>
    </row>
    <row r="1933" spans="1:8" ht="18.75" x14ac:dyDescent="0.2">
      <c r="A1933" s="3" t="str">
        <f t="shared" si="244"/>
        <v>98/11/26</v>
      </c>
      <c r="B1933" s="3" t="str">
        <f t="shared" si="245"/>
        <v>كالاهاي مصرفي</v>
      </c>
      <c r="C1933" s="3" t="str">
        <f t="shared" ref="C1933:C1949" si="247">"انبار مصرفي ZU1"</f>
        <v>انبار مصرفي ZU1</v>
      </c>
      <c r="D1933" s="3" t="str">
        <f>"0204000756"</f>
        <v>0204000756</v>
      </c>
      <c r="E1933" s="3" t="str">
        <f>"كوپلينگ الكتروموتور به پمپ"</f>
        <v>كوپلينگ الكتروموتور به پمپ</v>
      </c>
      <c r="F1933" s="3" t="str">
        <f>"عدد"</f>
        <v>عدد</v>
      </c>
      <c r="G1933" s="3">
        <v>3</v>
      </c>
      <c r="H1933" s="5">
        <v>37125000</v>
      </c>
    </row>
    <row r="1934" spans="1:8" ht="18.75" x14ac:dyDescent="0.2">
      <c r="A1934" s="3" t="str">
        <f t="shared" si="244"/>
        <v>98/11/26</v>
      </c>
      <c r="B1934" s="3" t="str">
        <f t="shared" si="245"/>
        <v>كالاهاي مصرفي</v>
      </c>
      <c r="C1934" s="3" t="str">
        <f t="shared" si="247"/>
        <v>انبار مصرفي ZU1</v>
      </c>
      <c r="D1934" s="3" t="str">
        <f>"0204000640"</f>
        <v>0204000640</v>
      </c>
      <c r="E1934" s="3" t="str">
        <f>"واشر اورينگ رزيني 5.8*(4-)400"</f>
        <v>واشر اورينگ رزيني 5.8*(4-)400</v>
      </c>
      <c r="F1934" s="3" t="str">
        <f>"عدد"</f>
        <v>عدد</v>
      </c>
      <c r="G1934" s="3">
        <v>48</v>
      </c>
      <c r="H1934" s="5">
        <v>37200000</v>
      </c>
    </row>
    <row r="1935" spans="1:8" ht="18.75" x14ac:dyDescent="0.2">
      <c r="A1935" s="3" t="str">
        <f t="shared" si="244"/>
        <v>98/11/26</v>
      </c>
      <c r="B1935" s="3" t="str">
        <f t="shared" si="245"/>
        <v>كالاهاي مصرفي</v>
      </c>
      <c r="C1935" s="3" t="str">
        <f t="shared" si="247"/>
        <v>انبار مصرفي ZU1</v>
      </c>
      <c r="D1935" s="3" t="str">
        <f>"0204001812"</f>
        <v>0204001812</v>
      </c>
      <c r="E1935" s="3" t="str">
        <f>"بيرينگ  7314"</f>
        <v>بيرينگ  7314</v>
      </c>
      <c r="F1935" s="3" t="str">
        <f>"عدد"</f>
        <v>عدد</v>
      </c>
      <c r="G1935" s="3">
        <v>2</v>
      </c>
      <c r="H1935" s="5">
        <v>37400000</v>
      </c>
    </row>
    <row r="1936" spans="1:8" ht="18.75" x14ac:dyDescent="0.2">
      <c r="A1936" s="3" t="str">
        <f t="shared" si="244"/>
        <v>98/11/26</v>
      </c>
      <c r="B1936" s="3" t="str">
        <f t="shared" si="245"/>
        <v>كالاهاي مصرفي</v>
      </c>
      <c r="C1936" s="3" t="str">
        <f t="shared" si="247"/>
        <v>انبار مصرفي ZU1</v>
      </c>
      <c r="D1936" s="3" t="str">
        <f>"0204001134"</f>
        <v>0204001134</v>
      </c>
      <c r="E1936" s="3" t="str">
        <f>"صفحات لاستيك آببندي معمولي ضخامت 1 ميليمتر"</f>
        <v>صفحات لاستيك آببندي معمولي ضخامت 1 ميليمتر</v>
      </c>
      <c r="F1936" s="3" t="str">
        <f>"متر مربع"</f>
        <v>متر مربع</v>
      </c>
      <c r="G1936" s="3">
        <v>91</v>
      </c>
      <c r="H1936" s="5">
        <v>37408000</v>
      </c>
    </row>
    <row r="1937" spans="1:8" ht="18.75" x14ac:dyDescent="0.2">
      <c r="A1937" s="3" t="str">
        <f t="shared" si="244"/>
        <v>98/11/26</v>
      </c>
      <c r="B1937" s="3" t="str">
        <f t="shared" si="245"/>
        <v>كالاهاي مصرفي</v>
      </c>
      <c r="C1937" s="3" t="str">
        <f t="shared" si="247"/>
        <v>انبار مصرفي ZU1</v>
      </c>
      <c r="D1937" s="3" t="str">
        <f>"0204000461"</f>
        <v>0204000461</v>
      </c>
      <c r="E1937" s="3" t="str">
        <f>"گسكت گرافيتي مقاوم به اسيد و روغن ضخامت 1"</f>
        <v>گسكت گرافيتي مقاوم به اسيد و روغن ضخامت 1</v>
      </c>
      <c r="F1937" s="3" t="str">
        <f>"متر مربع"</f>
        <v>متر مربع</v>
      </c>
      <c r="G1937" s="3">
        <v>19</v>
      </c>
      <c r="H1937" s="5">
        <v>37525000</v>
      </c>
    </row>
    <row r="1938" spans="1:8" ht="18.75" x14ac:dyDescent="0.2">
      <c r="A1938" s="3" t="str">
        <f t="shared" si="244"/>
        <v>98/11/26</v>
      </c>
      <c r="B1938" s="3" t="str">
        <f t="shared" si="245"/>
        <v>كالاهاي مصرفي</v>
      </c>
      <c r="C1938" s="3" t="str">
        <f t="shared" si="247"/>
        <v>انبار مصرفي ZU1</v>
      </c>
      <c r="D1938" s="3" t="str">
        <f>"0213000427"</f>
        <v>0213000427</v>
      </c>
      <c r="E1938" s="3" t="str">
        <f>"پيچ دو سر رزوه استنلس استيل M36"</f>
        <v>پيچ دو سر رزوه استنلس استيل M36</v>
      </c>
      <c r="F1938" s="3" t="str">
        <f>"متر"</f>
        <v>متر</v>
      </c>
      <c r="G1938" s="3">
        <v>13</v>
      </c>
      <c r="H1938" s="5">
        <v>37700000</v>
      </c>
    </row>
    <row r="1939" spans="1:8" ht="18.75" x14ac:dyDescent="0.2">
      <c r="A1939" s="3" t="str">
        <f t="shared" si="244"/>
        <v>98/11/26</v>
      </c>
      <c r="B1939" s="3" t="str">
        <f t="shared" si="245"/>
        <v>كالاهاي مصرفي</v>
      </c>
      <c r="C1939" s="3" t="str">
        <f t="shared" si="247"/>
        <v>انبار مصرفي ZU1</v>
      </c>
      <c r="D1939" s="3" t="str">
        <f>"0204001926"</f>
        <v>0204001926</v>
      </c>
      <c r="E1939" s="3" t="str">
        <f>"بيرينگ  NU320 ECJ/C3"</f>
        <v>بيرينگ  NU320 ECJ/C3</v>
      </c>
      <c r="F1939" s="3" t="str">
        <f>"عدد"</f>
        <v>عدد</v>
      </c>
      <c r="G1939" s="3">
        <v>1</v>
      </c>
      <c r="H1939" s="5">
        <v>38000000</v>
      </c>
    </row>
    <row r="1940" spans="1:8" ht="18.75" x14ac:dyDescent="0.2">
      <c r="A1940" s="3" t="str">
        <f t="shared" si="244"/>
        <v>98/11/26</v>
      </c>
      <c r="B1940" s="3" t="str">
        <f t="shared" si="245"/>
        <v>كالاهاي مصرفي</v>
      </c>
      <c r="C1940" s="3" t="str">
        <f t="shared" si="247"/>
        <v>انبار مصرفي ZU1</v>
      </c>
      <c r="D1940" s="3" t="str">
        <f>"0204001965"</f>
        <v>0204001965</v>
      </c>
      <c r="E1940" s="3" t="str">
        <f>"بوش چدني با قطر داخلي 160 و قطر خارجي 180 و ارتفاع 46 ميليمتر"</f>
        <v>بوش چدني با قطر داخلي 160 و قطر خارجي 180 و ارتفاع 46 ميليمتر</v>
      </c>
      <c r="F1940" s="3" t="str">
        <f>"عدد"</f>
        <v>عدد</v>
      </c>
      <c r="G1940" s="3">
        <v>10</v>
      </c>
      <c r="H1940" s="5">
        <v>38000000</v>
      </c>
    </row>
    <row r="1941" spans="1:8" ht="18.75" x14ac:dyDescent="0.2">
      <c r="A1941" s="3" t="str">
        <f t="shared" si="244"/>
        <v>98/11/26</v>
      </c>
      <c r="B1941" s="3" t="str">
        <f t="shared" si="245"/>
        <v>كالاهاي مصرفي</v>
      </c>
      <c r="C1941" s="3" t="str">
        <f t="shared" si="247"/>
        <v>انبار مصرفي ZU1</v>
      </c>
      <c r="D1941" s="3" t="str">
        <f>"0204001962"</f>
        <v>0204001962</v>
      </c>
      <c r="E1941" s="3" t="str">
        <f>"بوش چدني با قطر داخلي 115 و قطر خارجي 135 و ارتفاع 30 ميليمتر"</f>
        <v>بوش چدني با قطر داخلي 115 و قطر خارجي 135 و ارتفاع 30 ميليمتر</v>
      </c>
      <c r="F1941" s="3" t="str">
        <f>"عدد"</f>
        <v>عدد</v>
      </c>
      <c r="G1941" s="3">
        <v>12</v>
      </c>
      <c r="H1941" s="5">
        <v>38400000</v>
      </c>
    </row>
    <row r="1942" spans="1:8" ht="18.75" x14ac:dyDescent="0.2">
      <c r="A1942" s="3" t="str">
        <f t="shared" si="244"/>
        <v>98/11/26</v>
      </c>
      <c r="B1942" s="3" t="str">
        <f t="shared" si="245"/>
        <v>كالاهاي مصرفي</v>
      </c>
      <c r="C1942" s="3" t="str">
        <f t="shared" si="247"/>
        <v>انبار مصرفي ZU1</v>
      </c>
      <c r="D1942" s="3" t="str">
        <f>"0204000636"</f>
        <v>0204000636</v>
      </c>
      <c r="E1942" s="3" t="str">
        <f>"واشر اورينگ رزيني 5.8*(4-)420"</f>
        <v>واشر اورينگ رزيني 5.8*(4-)420</v>
      </c>
      <c r="F1942" s="3" t="str">
        <f>"عدد"</f>
        <v>عدد</v>
      </c>
      <c r="G1942" s="3">
        <v>49</v>
      </c>
      <c r="H1942" s="5">
        <v>38465000</v>
      </c>
    </row>
    <row r="1943" spans="1:8" ht="18.75" x14ac:dyDescent="0.2">
      <c r="A1943" s="3" t="str">
        <f t="shared" si="244"/>
        <v>98/11/26</v>
      </c>
      <c r="B1943" s="3" t="str">
        <f t="shared" si="245"/>
        <v>كالاهاي مصرفي</v>
      </c>
      <c r="C1943" s="3" t="str">
        <f t="shared" si="247"/>
        <v>انبار مصرفي ZU1</v>
      </c>
      <c r="D1943" s="3" t="str">
        <f>"0204000479"</f>
        <v>0204000479</v>
      </c>
      <c r="E1943" s="3" t="str">
        <f>"گسكت(واشرابندي) مسلح گرافيتي - ضخامت 2 ميليمتر"</f>
        <v>گسكت(واشرابندي) مسلح گرافيتي - ضخامت 2 ميليمتر</v>
      </c>
      <c r="F1943" s="3" t="str">
        <f>"متر مربع"</f>
        <v>متر مربع</v>
      </c>
      <c r="G1943" s="3">
        <v>25</v>
      </c>
      <c r="H1943" s="5">
        <v>38544871</v>
      </c>
    </row>
    <row r="1944" spans="1:8" ht="18.75" x14ac:dyDescent="0.2">
      <c r="A1944" s="3" t="str">
        <f t="shared" si="244"/>
        <v>98/11/26</v>
      </c>
      <c r="B1944" s="3" t="str">
        <f t="shared" si="245"/>
        <v>كالاهاي مصرفي</v>
      </c>
      <c r="C1944" s="3" t="str">
        <f t="shared" si="247"/>
        <v>انبار مصرفي ZU1</v>
      </c>
      <c r="D1944" s="3" t="str">
        <f>"0215000079"</f>
        <v>0215000079</v>
      </c>
      <c r="E1944" s="3" t="str">
        <f>"فيلتر  كيسه اي  300 *287 * 592 - G4"</f>
        <v>فيلتر  كيسه اي  300 *287 * 592 - G4</v>
      </c>
      <c r="F1944" s="3" t="str">
        <f>"عدد"</f>
        <v>عدد</v>
      </c>
      <c r="G1944" s="3">
        <v>140</v>
      </c>
      <c r="H1944" s="5">
        <v>38659091</v>
      </c>
    </row>
    <row r="1945" spans="1:8" ht="18.75" x14ac:dyDescent="0.2">
      <c r="A1945" s="3" t="str">
        <f t="shared" si="244"/>
        <v>98/11/26</v>
      </c>
      <c r="B1945" s="3" t="str">
        <f t="shared" si="245"/>
        <v>كالاهاي مصرفي</v>
      </c>
      <c r="C1945" s="3" t="str">
        <f t="shared" si="247"/>
        <v>انبار مصرفي ZU1</v>
      </c>
      <c r="D1945" s="3" t="str">
        <f>"0106000147"</f>
        <v>0106000147</v>
      </c>
      <c r="E1945" s="3" t="str">
        <f>"روغن 20 ليتري ( shell Vitrea 46 )"</f>
        <v>روغن 20 ليتري ( shell Vitrea 46 )</v>
      </c>
      <c r="F1945" s="3" t="str">
        <f>"گالن"</f>
        <v>گالن</v>
      </c>
      <c r="G1945" s="3">
        <v>14</v>
      </c>
      <c r="H1945" s="5">
        <v>38712593</v>
      </c>
    </row>
    <row r="1946" spans="1:8" ht="18.75" x14ac:dyDescent="0.2">
      <c r="A1946" s="3" t="str">
        <f t="shared" si="244"/>
        <v>98/11/26</v>
      </c>
      <c r="B1946" s="3" t="str">
        <f t="shared" si="245"/>
        <v>كالاهاي مصرفي</v>
      </c>
      <c r="C1946" s="3" t="str">
        <f t="shared" si="247"/>
        <v>انبار مصرفي ZU1</v>
      </c>
      <c r="D1946" s="3" t="str">
        <f>"0204001450"</f>
        <v>0204001450</v>
      </c>
      <c r="E1946" s="3" t="str">
        <f>"اورينگ سيليكون قطر 5.2 ميليمتر"</f>
        <v>اورينگ سيليكون قطر 5.2 ميليمتر</v>
      </c>
      <c r="F1946" s="3" t="str">
        <f>"متر"</f>
        <v>متر</v>
      </c>
      <c r="G1946" s="3">
        <v>231.9</v>
      </c>
      <c r="H1946" s="5">
        <v>38788326</v>
      </c>
    </row>
    <row r="1947" spans="1:8" ht="18.75" x14ac:dyDescent="0.2">
      <c r="A1947" s="3" t="str">
        <f t="shared" si="244"/>
        <v>98/11/26</v>
      </c>
      <c r="B1947" s="3" t="str">
        <f t="shared" si="245"/>
        <v>كالاهاي مصرفي</v>
      </c>
      <c r="C1947" s="3" t="str">
        <f t="shared" si="247"/>
        <v>انبار مصرفي ZU1</v>
      </c>
      <c r="D1947" s="3" t="str">
        <f>"0106000201"</f>
        <v>0106000201</v>
      </c>
      <c r="E1947" s="3" t="str">
        <f>"گريس سيليكوني MOLYKOTE-- P37 نيم كيلويي"</f>
        <v>گريس سيليكوني MOLYKOTE-- P37 نيم كيلويي</v>
      </c>
      <c r="F1947" s="3" t="str">
        <f>"قوطي"</f>
        <v>قوطي</v>
      </c>
      <c r="G1947" s="3">
        <v>6</v>
      </c>
      <c r="H1947" s="5">
        <v>39000000</v>
      </c>
    </row>
    <row r="1948" spans="1:8" ht="18.75" x14ac:dyDescent="0.2">
      <c r="A1948" s="3" t="str">
        <f t="shared" si="244"/>
        <v>98/11/26</v>
      </c>
      <c r="B1948" s="3" t="str">
        <f t="shared" si="245"/>
        <v>كالاهاي مصرفي</v>
      </c>
      <c r="C1948" s="3" t="str">
        <f t="shared" si="247"/>
        <v>انبار مصرفي ZU1</v>
      </c>
      <c r="D1948" s="3" t="str">
        <f>"0204000747"</f>
        <v>0204000747</v>
      </c>
      <c r="E1948" s="3" t="str">
        <f>"واشر اورينگ رزيني 6*(5-)690"</f>
        <v>واشر اورينگ رزيني 6*(5-)690</v>
      </c>
      <c r="F1948" s="3" t="str">
        <f>"عدد"</f>
        <v>عدد</v>
      </c>
      <c r="G1948" s="3">
        <v>50</v>
      </c>
      <c r="H1948" s="5">
        <v>39000000</v>
      </c>
    </row>
    <row r="1949" spans="1:8" ht="18.75" x14ac:dyDescent="0.2">
      <c r="A1949" s="3" t="str">
        <f t="shared" si="244"/>
        <v>98/11/26</v>
      </c>
      <c r="B1949" s="3" t="str">
        <f t="shared" si="245"/>
        <v>كالاهاي مصرفي</v>
      </c>
      <c r="C1949" s="3" t="str">
        <f t="shared" si="247"/>
        <v>انبار مصرفي ZU1</v>
      </c>
      <c r="D1949" s="3" t="str">
        <f>"0204000748"</f>
        <v>0204000748</v>
      </c>
      <c r="E1949" s="3" t="str">
        <f>"واشر اورينگ رزيني 6*(5-)720"</f>
        <v>واشر اورينگ رزيني 6*(5-)720</v>
      </c>
      <c r="F1949" s="3" t="str">
        <f>"عدد"</f>
        <v>عدد</v>
      </c>
      <c r="G1949" s="3">
        <v>50</v>
      </c>
      <c r="H1949" s="5">
        <v>39000000</v>
      </c>
    </row>
    <row r="1950" spans="1:8" ht="18.75" x14ac:dyDescent="0.2">
      <c r="A1950" s="3" t="str">
        <f t="shared" si="244"/>
        <v>98/11/26</v>
      </c>
      <c r="B1950" s="3" t="str">
        <f t="shared" si="245"/>
        <v>كالاهاي مصرفي</v>
      </c>
      <c r="C1950" s="3" t="str">
        <f>"انبار مركزي ( عمومي )"</f>
        <v>انبار مركزي ( عمومي )</v>
      </c>
      <c r="D1950" s="3" t="str">
        <f>"0212000082"</f>
        <v>0212000082</v>
      </c>
      <c r="E1950" s="3" t="str">
        <f>"نوار عايق گازي سياه 150 ميل"</f>
        <v>نوار عايق گازي سياه 150 ميل</v>
      </c>
      <c r="F1950" s="3" t="str">
        <f>"متر"</f>
        <v>متر</v>
      </c>
      <c r="G1950" s="3">
        <v>750</v>
      </c>
      <c r="H1950" s="5">
        <v>39000000</v>
      </c>
    </row>
    <row r="1951" spans="1:8" ht="18.75" x14ac:dyDescent="0.2">
      <c r="A1951" s="3" t="str">
        <f t="shared" si="244"/>
        <v>98/11/26</v>
      </c>
      <c r="B1951" s="3" t="str">
        <f t="shared" si="245"/>
        <v>كالاهاي مصرفي</v>
      </c>
      <c r="C1951" s="3" t="str">
        <f t="shared" ref="C1951:C1983" si="248">"انبار مصرفي ZU1"</f>
        <v>انبار مصرفي ZU1</v>
      </c>
      <c r="D1951" s="3" t="str">
        <f>"0204000489"</f>
        <v>0204000489</v>
      </c>
      <c r="E1951" s="3" t="str">
        <f>"صفحات لاستيك آببندي مقاوم در مقابل مواد نفتي ضخامت 10"</f>
        <v>صفحات لاستيك آببندي مقاوم در مقابل مواد نفتي ضخامت 10</v>
      </c>
      <c r="F1951" s="3" t="str">
        <f>"کيلوگرم"</f>
        <v>کيلوگرم</v>
      </c>
      <c r="G1951" s="3">
        <v>190</v>
      </c>
      <c r="H1951" s="5">
        <v>39100000</v>
      </c>
    </row>
    <row r="1952" spans="1:8" ht="18.75" x14ac:dyDescent="0.2">
      <c r="A1952" s="3" t="str">
        <f t="shared" si="244"/>
        <v>98/11/26</v>
      </c>
      <c r="B1952" s="3" t="str">
        <f t="shared" si="245"/>
        <v>كالاهاي مصرفي</v>
      </c>
      <c r="C1952" s="3" t="str">
        <f t="shared" si="248"/>
        <v>انبار مصرفي ZU1</v>
      </c>
      <c r="D1952" s="3" t="str">
        <f>"0204000801"</f>
        <v>0204000801</v>
      </c>
      <c r="E1952" s="3" t="str">
        <f>"بيرينگ 2308ETN9"</f>
        <v>بيرينگ 2308ETN9</v>
      </c>
      <c r="F1952" s="3" t="str">
        <f>"عدد"</f>
        <v>عدد</v>
      </c>
      <c r="G1952" s="3">
        <v>4</v>
      </c>
      <c r="H1952" s="5">
        <v>39200000</v>
      </c>
    </row>
    <row r="1953" spans="1:8" ht="18.75" x14ac:dyDescent="0.2">
      <c r="A1953" s="3" t="str">
        <f t="shared" si="244"/>
        <v>98/11/26</v>
      </c>
      <c r="B1953" s="3" t="str">
        <f t="shared" si="245"/>
        <v>كالاهاي مصرفي</v>
      </c>
      <c r="C1953" s="3" t="str">
        <f t="shared" si="248"/>
        <v>انبار مصرفي ZU1</v>
      </c>
      <c r="D1953" s="3" t="str">
        <f>"0215000078"</f>
        <v>0215000078</v>
      </c>
      <c r="E1953" s="3" t="str">
        <f>"فيلتر  كيسه اي 300 *592 *592 -G4"</f>
        <v>فيلتر  كيسه اي 300 *592 *592 -G4</v>
      </c>
      <c r="F1953" s="3" t="str">
        <f>"عدد"</f>
        <v>عدد</v>
      </c>
      <c r="G1953" s="3">
        <v>98</v>
      </c>
      <c r="H1953" s="5">
        <v>39200000</v>
      </c>
    </row>
    <row r="1954" spans="1:8" ht="18.75" x14ac:dyDescent="0.2">
      <c r="A1954" s="3" t="str">
        <f t="shared" si="244"/>
        <v>98/11/26</v>
      </c>
      <c r="B1954" s="3" t="str">
        <f t="shared" si="245"/>
        <v>كالاهاي مصرفي</v>
      </c>
      <c r="C1954" s="3" t="str">
        <f t="shared" si="248"/>
        <v>انبار مصرفي ZU1</v>
      </c>
      <c r="D1954" s="3" t="str">
        <f>"0103000081"</f>
        <v>0103000081</v>
      </c>
      <c r="E1954" s="3" t="str">
        <f>"كواگولانت(سولفات آهن )"</f>
        <v>كواگولانت(سولفات آهن )</v>
      </c>
      <c r="F1954" s="3" t="str">
        <f>"کيلوگرم"</f>
        <v>کيلوگرم</v>
      </c>
      <c r="G1954" s="3">
        <v>1000</v>
      </c>
      <c r="H1954" s="5">
        <v>39203125</v>
      </c>
    </row>
    <row r="1955" spans="1:8" ht="18.75" x14ac:dyDescent="0.2">
      <c r="A1955" s="3" t="str">
        <f t="shared" si="244"/>
        <v>98/11/26</v>
      </c>
      <c r="B1955" s="3" t="str">
        <f t="shared" si="245"/>
        <v>كالاهاي مصرفي</v>
      </c>
      <c r="C1955" s="3" t="str">
        <f t="shared" si="248"/>
        <v>انبار مصرفي ZU1</v>
      </c>
      <c r="D1955" s="3" t="str">
        <f>"0103000264"</f>
        <v>0103000264</v>
      </c>
      <c r="E1955" s="3" t="str">
        <f>"استون"</f>
        <v>استون</v>
      </c>
      <c r="F1955" s="3" t="str">
        <f>"ليتر"</f>
        <v>ليتر</v>
      </c>
      <c r="G1955" s="3">
        <v>80.000036363635999</v>
      </c>
      <c r="H1955" s="5">
        <v>39280018</v>
      </c>
    </row>
    <row r="1956" spans="1:8" ht="18.75" x14ac:dyDescent="0.2">
      <c r="A1956" s="3" t="str">
        <f t="shared" si="244"/>
        <v>98/11/26</v>
      </c>
      <c r="B1956" s="3" t="str">
        <f t="shared" si="245"/>
        <v>كالاهاي مصرفي</v>
      </c>
      <c r="C1956" s="3" t="str">
        <f t="shared" si="248"/>
        <v>انبار مصرفي ZU1</v>
      </c>
      <c r="D1956" s="3" t="str">
        <f>"0211001849"</f>
        <v>0211001849</v>
      </c>
      <c r="E1956" s="3" t="str">
        <f>"پوشش استيل سراميك"</f>
        <v>پوشش استيل سراميك</v>
      </c>
      <c r="F1956" s="3" t="str">
        <f>"کيلوگرم"</f>
        <v>کيلوگرم</v>
      </c>
      <c r="G1956" s="3">
        <v>1</v>
      </c>
      <c r="H1956" s="5">
        <v>39400000</v>
      </c>
    </row>
    <row r="1957" spans="1:8" ht="18.75" x14ac:dyDescent="0.2">
      <c r="A1957" s="3" t="str">
        <f t="shared" si="244"/>
        <v>98/11/26</v>
      </c>
      <c r="B1957" s="3" t="str">
        <f t="shared" si="245"/>
        <v>كالاهاي مصرفي</v>
      </c>
      <c r="C1957" s="3" t="str">
        <f t="shared" si="248"/>
        <v>انبار مصرفي ZU1</v>
      </c>
      <c r="D1957" s="3" t="str">
        <f>"0215000085"</f>
        <v>0215000085</v>
      </c>
      <c r="E1957" s="3" t="str">
        <f>"فيلتر كيسه اي 600 *287  *592  -F8"</f>
        <v>فيلتر كيسه اي 600 *287  *592  -F8</v>
      </c>
      <c r="F1957" s="3" t="str">
        <f>"عدد"</f>
        <v>عدد</v>
      </c>
      <c r="G1957" s="3">
        <v>40</v>
      </c>
      <c r="H1957" s="5">
        <v>39424419</v>
      </c>
    </row>
    <row r="1958" spans="1:8" ht="18.75" x14ac:dyDescent="0.2">
      <c r="A1958" s="3" t="str">
        <f t="shared" si="244"/>
        <v>98/11/26</v>
      </c>
      <c r="B1958" s="3" t="str">
        <f t="shared" si="245"/>
        <v>كالاهاي مصرفي</v>
      </c>
      <c r="C1958" s="3" t="str">
        <f t="shared" si="248"/>
        <v>انبار مصرفي ZU1</v>
      </c>
      <c r="D1958" s="3" t="str">
        <f>"0213000857"</f>
        <v>0213000857</v>
      </c>
      <c r="E1958" s="3" t="str">
        <f>"سمباده رولي P150"</f>
        <v>سمباده رولي P150</v>
      </c>
      <c r="F1958" s="3" t="str">
        <f>"رول"</f>
        <v>رول</v>
      </c>
      <c r="G1958" s="3">
        <v>12</v>
      </c>
      <c r="H1958" s="5">
        <v>39714285</v>
      </c>
    </row>
    <row r="1959" spans="1:8" ht="18.75" x14ac:dyDescent="0.2">
      <c r="A1959" s="3" t="str">
        <f t="shared" si="244"/>
        <v>98/11/26</v>
      </c>
      <c r="B1959" s="3" t="str">
        <f t="shared" si="245"/>
        <v>كالاهاي مصرفي</v>
      </c>
      <c r="C1959" s="3" t="str">
        <f t="shared" si="248"/>
        <v>انبار مصرفي ZU1</v>
      </c>
      <c r="D1959" s="3" t="str">
        <f>"0204001314"</f>
        <v>0204001314</v>
      </c>
      <c r="E1959" s="3" t="str">
        <f>"اورينگ HNBR 95*5.8"</f>
        <v>اورينگ HNBR 95*5.8</v>
      </c>
      <c r="F1959" s="3" t="str">
        <f>"عدد"</f>
        <v>عدد</v>
      </c>
      <c r="G1959" s="3">
        <v>20</v>
      </c>
      <c r="H1959" s="5">
        <v>39820000</v>
      </c>
    </row>
    <row r="1960" spans="1:8" ht="18.75" x14ac:dyDescent="0.2">
      <c r="A1960" s="3" t="str">
        <f t="shared" si="244"/>
        <v>98/11/26</v>
      </c>
      <c r="B1960" s="3" t="str">
        <f t="shared" si="245"/>
        <v>كالاهاي مصرفي</v>
      </c>
      <c r="C1960" s="3" t="str">
        <f t="shared" si="248"/>
        <v>انبار مصرفي ZU1</v>
      </c>
      <c r="D1960" s="3" t="str">
        <f>"0103000210"</f>
        <v>0103000210</v>
      </c>
      <c r="E1960" s="3" t="str">
        <f>"اگزاليك اسيد"</f>
        <v>اگزاليك اسيد</v>
      </c>
      <c r="F1960" s="3" t="str">
        <f>"کيلوگرم"</f>
        <v>کيلوگرم</v>
      </c>
      <c r="G1960" s="3">
        <v>500</v>
      </c>
      <c r="H1960" s="5">
        <v>40000000</v>
      </c>
    </row>
    <row r="1961" spans="1:8" ht="18.75" x14ac:dyDescent="0.2">
      <c r="A1961" s="3" t="str">
        <f t="shared" si="244"/>
        <v>98/11/26</v>
      </c>
      <c r="B1961" s="3" t="str">
        <f t="shared" si="245"/>
        <v>كالاهاي مصرفي</v>
      </c>
      <c r="C1961" s="3" t="str">
        <f t="shared" si="248"/>
        <v>انبار مصرفي ZU1</v>
      </c>
      <c r="D1961" s="3" t="str">
        <f>"0106000051"</f>
        <v>0106000051</v>
      </c>
      <c r="E1961" s="3" t="str">
        <f>"تينر فوري 20000"</f>
        <v>تينر فوري 20000</v>
      </c>
      <c r="F1961" s="3" t="str">
        <f>"ليتر"</f>
        <v>ليتر</v>
      </c>
      <c r="G1961" s="3">
        <v>100</v>
      </c>
      <c r="H1961" s="5">
        <v>40000000</v>
      </c>
    </row>
    <row r="1962" spans="1:8" ht="18.75" x14ac:dyDescent="0.2">
      <c r="A1962" s="3" t="str">
        <f t="shared" si="244"/>
        <v>98/11/26</v>
      </c>
      <c r="B1962" s="3" t="str">
        <f t="shared" si="245"/>
        <v>كالاهاي مصرفي</v>
      </c>
      <c r="C1962" s="3" t="str">
        <f t="shared" si="248"/>
        <v>انبار مصرفي ZU1</v>
      </c>
      <c r="D1962" s="3" t="str">
        <f>"0204001935"</f>
        <v>0204001935</v>
      </c>
      <c r="E1962" s="3" t="str">
        <f>"7217 BECBJبيرينگ"</f>
        <v>7217 BECBJبيرينگ</v>
      </c>
      <c r="F1962" s="3" t="str">
        <f>"عدد"</f>
        <v>عدد</v>
      </c>
      <c r="G1962" s="3">
        <v>2</v>
      </c>
      <c r="H1962" s="5">
        <v>40000000</v>
      </c>
    </row>
    <row r="1963" spans="1:8" ht="18.75" x14ac:dyDescent="0.2">
      <c r="A1963" s="3" t="str">
        <f t="shared" si="244"/>
        <v>98/11/26</v>
      </c>
      <c r="B1963" s="3" t="str">
        <f t="shared" si="245"/>
        <v>كالاهاي مصرفي</v>
      </c>
      <c r="C1963" s="3" t="str">
        <f t="shared" si="248"/>
        <v>انبار مصرفي ZU1</v>
      </c>
      <c r="D1963" s="3" t="str">
        <f>"0103000296"</f>
        <v>0103000296</v>
      </c>
      <c r="E1963" s="3" t="str">
        <f>"الكل سفيد"</f>
        <v>الكل سفيد</v>
      </c>
      <c r="F1963" s="3" t="str">
        <f>"ليتر"</f>
        <v>ليتر</v>
      </c>
      <c r="G1963" s="3">
        <v>143</v>
      </c>
      <c r="H1963" s="5">
        <v>40116600</v>
      </c>
    </row>
    <row r="1964" spans="1:8" ht="18.75" x14ac:dyDescent="0.2">
      <c r="A1964" s="3" t="str">
        <f t="shared" si="244"/>
        <v>98/11/26</v>
      </c>
      <c r="B1964" s="3" t="str">
        <f t="shared" si="245"/>
        <v>كالاهاي مصرفي</v>
      </c>
      <c r="C1964" s="3" t="str">
        <f t="shared" si="248"/>
        <v>انبار مصرفي ZU1</v>
      </c>
      <c r="D1964" s="3" t="str">
        <f>"0105000128"</f>
        <v>0105000128</v>
      </c>
      <c r="E1964" s="3" t="str">
        <f>"ثابت کننده رزوه ( Loctate 243 )"</f>
        <v>ثابت کننده رزوه ( Loctate 243 )</v>
      </c>
      <c r="F1964" s="3" t="str">
        <f>"عدد"</f>
        <v>عدد</v>
      </c>
      <c r="G1964" s="3">
        <v>85</v>
      </c>
      <c r="H1964" s="5">
        <v>40225000</v>
      </c>
    </row>
    <row r="1965" spans="1:8" ht="18.75" x14ac:dyDescent="0.2">
      <c r="A1965" s="3" t="str">
        <f t="shared" si="244"/>
        <v>98/11/26</v>
      </c>
      <c r="B1965" s="3" t="str">
        <f t="shared" si="245"/>
        <v>كالاهاي مصرفي</v>
      </c>
      <c r="C1965" s="3" t="str">
        <f t="shared" si="248"/>
        <v>انبار مصرفي ZU1</v>
      </c>
      <c r="D1965" s="3" t="str">
        <f>"0204001151"</f>
        <v>0204001151</v>
      </c>
      <c r="E1965" s="3" t="str">
        <f>"گسکت مقاوم به اسيد و باز ضخامت 2 ميليمتر"</f>
        <v>گسکت مقاوم به اسيد و باز ضخامت 2 ميليمتر</v>
      </c>
      <c r="F1965" s="3" t="str">
        <f>"متر مربع"</f>
        <v>متر مربع</v>
      </c>
      <c r="G1965" s="3">
        <v>16.8</v>
      </c>
      <c r="H1965" s="5">
        <v>40320000</v>
      </c>
    </row>
    <row r="1966" spans="1:8" ht="18.75" x14ac:dyDescent="0.2">
      <c r="A1966" s="3" t="str">
        <f t="shared" si="244"/>
        <v>98/11/26</v>
      </c>
      <c r="B1966" s="3" t="str">
        <f t="shared" si="245"/>
        <v>كالاهاي مصرفي</v>
      </c>
      <c r="C1966" s="3" t="str">
        <f t="shared" si="248"/>
        <v>انبار مصرفي ZU1</v>
      </c>
      <c r="D1966" s="3" t="str">
        <f>"0213000222"</f>
        <v>0213000222</v>
      </c>
      <c r="E1966" s="3" t="str">
        <f>"پيچ دوسر رزوه M40*160"</f>
        <v>پيچ دوسر رزوه M40*160</v>
      </c>
      <c r="F1966" s="3" t="str">
        <f>"عدد"</f>
        <v>عدد</v>
      </c>
      <c r="G1966" s="3">
        <v>100</v>
      </c>
      <c r="H1966" s="5">
        <v>40943333</v>
      </c>
    </row>
    <row r="1967" spans="1:8" ht="18.75" x14ac:dyDescent="0.2">
      <c r="A1967" s="3" t="str">
        <f t="shared" si="244"/>
        <v>98/11/26</v>
      </c>
      <c r="B1967" s="3" t="str">
        <f t="shared" si="245"/>
        <v>كالاهاي مصرفي</v>
      </c>
      <c r="C1967" s="3" t="str">
        <f t="shared" si="248"/>
        <v>انبار مصرفي ZU1</v>
      </c>
      <c r="D1967" s="3" t="str">
        <f>"0204000637"</f>
        <v>0204000637</v>
      </c>
      <c r="E1967" s="3" t="str">
        <f>"واشر اورينگ رزيني 5.8*(4-)480"</f>
        <v>واشر اورينگ رزيني 5.8*(4-)480</v>
      </c>
      <c r="F1967" s="3" t="str">
        <f>"عدد"</f>
        <v>عدد</v>
      </c>
      <c r="G1967" s="3">
        <v>50</v>
      </c>
      <c r="H1967" s="5">
        <v>41000000</v>
      </c>
    </row>
    <row r="1968" spans="1:8" ht="18.75" x14ac:dyDescent="0.2">
      <c r="A1968" s="3" t="str">
        <f t="shared" si="244"/>
        <v>98/11/26</v>
      </c>
      <c r="B1968" s="3" t="str">
        <f t="shared" si="245"/>
        <v>كالاهاي مصرفي</v>
      </c>
      <c r="C1968" s="3" t="str">
        <f t="shared" si="248"/>
        <v>انبار مصرفي ZU1</v>
      </c>
      <c r="D1968" s="3" t="str">
        <f>"0204000641"</f>
        <v>0204000641</v>
      </c>
      <c r="E1968" s="3" t="str">
        <f>"واشر اورينگ رزيني 5.8*(5-)500"</f>
        <v>واشر اورينگ رزيني 5.8*(5-)500</v>
      </c>
      <c r="F1968" s="3" t="str">
        <f>"عدد"</f>
        <v>عدد</v>
      </c>
      <c r="G1968" s="3">
        <v>49</v>
      </c>
      <c r="H1968" s="5">
        <v>41160000</v>
      </c>
    </row>
    <row r="1969" spans="1:8" ht="18.75" x14ac:dyDescent="0.2">
      <c r="A1969" s="3" t="str">
        <f t="shared" si="244"/>
        <v>98/11/26</v>
      </c>
      <c r="B1969" s="3" t="str">
        <f t="shared" si="245"/>
        <v>كالاهاي مصرفي</v>
      </c>
      <c r="C1969" s="3" t="str">
        <f t="shared" si="248"/>
        <v>انبار مصرفي ZU1</v>
      </c>
      <c r="D1969" s="3" t="str">
        <f>"0204000074"</f>
        <v>0204000074</v>
      </c>
      <c r="E1969" s="3" t="str">
        <f>"بيرينگ NU219-ECJ/C3"</f>
        <v>بيرينگ NU219-ECJ/C3</v>
      </c>
      <c r="F1969" s="3" t="str">
        <f>"عدد"</f>
        <v>عدد</v>
      </c>
      <c r="G1969" s="3">
        <v>2</v>
      </c>
      <c r="H1969" s="5">
        <v>41200000</v>
      </c>
    </row>
    <row r="1970" spans="1:8" ht="18.75" x14ac:dyDescent="0.2">
      <c r="A1970" s="3" t="str">
        <f t="shared" si="244"/>
        <v>98/11/26</v>
      </c>
      <c r="B1970" s="3" t="str">
        <f t="shared" si="245"/>
        <v>كالاهاي مصرفي</v>
      </c>
      <c r="C1970" s="3" t="str">
        <f t="shared" si="248"/>
        <v>انبار مصرفي ZU1</v>
      </c>
      <c r="D1970" s="3" t="str">
        <f>"0303000320"</f>
        <v>0303000320</v>
      </c>
      <c r="E1970" s="3" t="str">
        <f>"مانومتر(400-0) bar"</f>
        <v>مانومتر(400-0) bar</v>
      </c>
      <c r="F1970" s="3" t="str">
        <f>"دستگاه"</f>
        <v>دستگاه</v>
      </c>
      <c r="G1970" s="3">
        <v>6</v>
      </c>
      <c r="H1970" s="5">
        <v>41400000</v>
      </c>
    </row>
    <row r="1971" spans="1:8" ht="18.75" x14ac:dyDescent="0.2">
      <c r="A1971" s="3" t="str">
        <f t="shared" si="244"/>
        <v>98/11/26</v>
      </c>
      <c r="B1971" s="3" t="str">
        <f t="shared" si="245"/>
        <v>كالاهاي مصرفي</v>
      </c>
      <c r="C1971" s="3" t="str">
        <f t="shared" si="248"/>
        <v>انبار مصرفي ZU1</v>
      </c>
      <c r="D1971" s="3" t="str">
        <f>"0213000148"</f>
        <v>0213000148</v>
      </c>
      <c r="E1971" s="3" t="str">
        <f>"پيچ M30*60"</f>
        <v>پيچ M30*60</v>
      </c>
      <c r="F1971" s="3" t="str">
        <f>"عدد"</f>
        <v>عدد</v>
      </c>
      <c r="G1971" s="3">
        <v>600</v>
      </c>
      <c r="H1971" s="5">
        <v>41484000</v>
      </c>
    </row>
    <row r="1972" spans="1:8" ht="18.75" x14ac:dyDescent="0.2">
      <c r="A1972" s="3" t="str">
        <f t="shared" si="244"/>
        <v>98/11/26</v>
      </c>
      <c r="B1972" s="3" t="str">
        <f t="shared" si="245"/>
        <v>كالاهاي مصرفي</v>
      </c>
      <c r="C1972" s="3" t="str">
        <f t="shared" si="248"/>
        <v>انبار مصرفي ZU1</v>
      </c>
      <c r="D1972" s="3" t="str">
        <f>"0215000083"</f>
        <v>0215000083</v>
      </c>
      <c r="E1972" s="3" t="str">
        <f>"فيلتر  كيسه اي 300 *287 *592 -F8"</f>
        <v>فيلتر  كيسه اي 300 *287 *592 -F8</v>
      </c>
      <c r="F1972" s="3" t="str">
        <f>"عدد"</f>
        <v>عدد</v>
      </c>
      <c r="G1972" s="3">
        <v>138</v>
      </c>
      <c r="H1972" s="5">
        <v>41492000</v>
      </c>
    </row>
    <row r="1973" spans="1:8" ht="18.75" x14ac:dyDescent="0.2">
      <c r="A1973" s="3" t="str">
        <f t="shared" si="244"/>
        <v>98/11/26</v>
      </c>
      <c r="B1973" s="3" t="str">
        <f t="shared" si="245"/>
        <v>كالاهاي مصرفي</v>
      </c>
      <c r="C1973" s="3" t="str">
        <f t="shared" si="248"/>
        <v>انبار مصرفي ZU1</v>
      </c>
      <c r="D1973" s="3" t="str">
        <f>"0204000830"</f>
        <v>0204000830</v>
      </c>
      <c r="E1973" s="3" t="str">
        <f>"واشر اورينگ رزيني NBR 576 (-5) X7"</f>
        <v>واشر اورينگ رزيني NBR 576 (-5) X7</v>
      </c>
      <c r="F1973" s="3" t="str">
        <f>"عدد"</f>
        <v>عدد</v>
      </c>
      <c r="G1973" s="3">
        <v>50</v>
      </c>
      <c r="H1973" s="5">
        <v>41500000</v>
      </c>
    </row>
    <row r="1974" spans="1:8" ht="18.75" x14ac:dyDescent="0.2">
      <c r="A1974" s="3" t="str">
        <f t="shared" si="244"/>
        <v>98/11/26</v>
      </c>
      <c r="B1974" s="3" t="str">
        <f t="shared" si="245"/>
        <v>كالاهاي مصرفي</v>
      </c>
      <c r="C1974" s="3" t="str">
        <f t="shared" si="248"/>
        <v>انبار مصرفي ZU1</v>
      </c>
      <c r="D1974" s="3" t="str">
        <f>"0204001315"</f>
        <v>0204001315</v>
      </c>
      <c r="E1974" s="3" t="str">
        <f>"اورينگ HNBR 96*3.6"</f>
        <v>اورينگ HNBR 96*3.6</v>
      </c>
      <c r="F1974" s="3" t="str">
        <f>"عدد"</f>
        <v>عدد</v>
      </c>
      <c r="G1974" s="3">
        <v>20</v>
      </c>
      <c r="H1974" s="5">
        <v>41500000</v>
      </c>
    </row>
    <row r="1975" spans="1:8" ht="18.75" x14ac:dyDescent="0.2">
      <c r="A1975" s="3" t="str">
        <f t="shared" si="244"/>
        <v>98/11/26</v>
      </c>
      <c r="B1975" s="3" t="str">
        <f t="shared" si="245"/>
        <v>كالاهاي مصرفي</v>
      </c>
      <c r="C1975" s="3" t="str">
        <f t="shared" si="248"/>
        <v>انبار مصرفي ZU1</v>
      </c>
      <c r="D1975" s="3" t="str">
        <f>"0206000212"</f>
        <v>0206000212</v>
      </c>
      <c r="E1975" s="3" t="str">
        <f>"بست كمربندي پلاستيكي 55 سانتي"</f>
        <v>بست كمربندي پلاستيكي 55 سانتي</v>
      </c>
      <c r="F1975" s="3" t="str">
        <f>"بسته"</f>
        <v>بسته</v>
      </c>
      <c r="G1975" s="3">
        <v>26</v>
      </c>
      <c r="H1975" s="5">
        <v>41600000</v>
      </c>
    </row>
    <row r="1976" spans="1:8" ht="18.75" x14ac:dyDescent="0.2">
      <c r="A1976" s="3" t="str">
        <f t="shared" si="244"/>
        <v>98/11/26</v>
      </c>
      <c r="B1976" s="3" t="str">
        <f t="shared" si="245"/>
        <v>كالاهاي مصرفي</v>
      </c>
      <c r="C1976" s="3" t="str">
        <f t="shared" si="248"/>
        <v>انبار مصرفي ZU1</v>
      </c>
      <c r="D1976" s="3" t="str">
        <f>"0204000459"</f>
        <v>0204000459</v>
      </c>
      <c r="E1976" s="3" t="str">
        <f>"گسكت مقاوم به بنزين و روغن ضخامت 6 FRENZELIT"</f>
        <v>گسكت مقاوم به بنزين و روغن ضخامت 6 FRENZELIT</v>
      </c>
      <c r="F1976" s="3" t="str">
        <f>"متر مربع"</f>
        <v>متر مربع</v>
      </c>
      <c r="G1976" s="3">
        <v>10</v>
      </c>
      <c r="H1976" s="5">
        <v>41850000</v>
      </c>
    </row>
    <row r="1977" spans="1:8" ht="18.75" x14ac:dyDescent="0.2">
      <c r="A1977" s="3" t="str">
        <f t="shared" si="244"/>
        <v>98/11/26</v>
      </c>
      <c r="B1977" s="3" t="str">
        <f t="shared" si="245"/>
        <v>كالاهاي مصرفي</v>
      </c>
      <c r="C1977" s="3" t="str">
        <f t="shared" si="248"/>
        <v>انبار مصرفي ZU1</v>
      </c>
      <c r="D1977" s="3" t="str">
        <f>"0204001194"</f>
        <v>0204001194</v>
      </c>
      <c r="E1977" s="3" t="str">
        <f>"پکينگ آبندي (فشاري) تفلوني 10*10 ميليمتر"</f>
        <v>پکينگ آبندي (فشاري) تفلوني 10*10 ميليمتر</v>
      </c>
      <c r="F1977" s="3" t="str">
        <f>"قرقره"</f>
        <v>قرقره</v>
      </c>
      <c r="G1977" s="3">
        <v>3</v>
      </c>
      <c r="H1977" s="5">
        <v>42000000</v>
      </c>
    </row>
    <row r="1978" spans="1:8" ht="18.75" x14ac:dyDescent="0.2">
      <c r="A1978" s="3" t="str">
        <f t="shared" si="244"/>
        <v>98/11/26</v>
      </c>
      <c r="B1978" s="3" t="str">
        <f t="shared" si="245"/>
        <v>كالاهاي مصرفي</v>
      </c>
      <c r="C1978" s="3" t="str">
        <f t="shared" si="248"/>
        <v>انبار مصرفي ZU1</v>
      </c>
      <c r="D1978" s="3" t="str">
        <f>"0213000859"</f>
        <v>0213000859</v>
      </c>
      <c r="E1978" s="3" t="str">
        <f>"سمباده رولي P220"</f>
        <v>سمباده رولي P220</v>
      </c>
      <c r="F1978" s="3" t="str">
        <f>"رول"</f>
        <v>رول</v>
      </c>
      <c r="G1978" s="3">
        <v>9</v>
      </c>
      <c r="H1978" s="5">
        <v>42244285</v>
      </c>
    </row>
    <row r="1979" spans="1:8" ht="18.75" x14ac:dyDescent="0.2">
      <c r="A1979" s="3" t="str">
        <f t="shared" si="244"/>
        <v>98/11/26</v>
      </c>
      <c r="B1979" s="3" t="str">
        <f t="shared" si="245"/>
        <v>كالاهاي مصرفي</v>
      </c>
      <c r="C1979" s="3" t="str">
        <f t="shared" si="248"/>
        <v>انبار مصرفي ZU1</v>
      </c>
      <c r="D1979" s="3" t="str">
        <f>"0204002172"</f>
        <v>0204002172</v>
      </c>
      <c r="E1979" s="3" t="str">
        <f>"لرزه گير UV 54 D017  دستگاه تهويه"</f>
        <v>لرزه گير UV 54 D017  دستگاه تهويه</v>
      </c>
      <c r="F1979" s="3" t="str">
        <f>"عدد"</f>
        <v>عدد</v>
      </c>
      <c r="G1979" s="3">
        <v>16</v>
      </c>
      <c r="H1979" s="5">
        <v>42400000</v>
      </c>
    </row>
    <row r="1980" spans="1:8" ht="18.75" x14ac:dyDescent="0.2">
      <c r="A1980" s="3" t="str">
        <f t="shared" si="244"/>
        <v>98/11/26</v>
      </c>
      <c r="B1980" s="3" t="str">
        <f t="shared" si="245"/>
        <v>كالاهاي مصرفي</v>
      </c>
      <c r="C1980" s="3" t="str">
        <f t="shared" si="248"/>
        <v>انبار مصرفي ZU1</v>
      </c>
      <c r="D1980" s="3" t="str">
        <f>"0106000148"</f>
        <v>0106000148</v>
      </c>
      <c r="E1980" s="3" t="str">
        <f>"روغن 20 ليتري ( shell Vitrea 27 -33 )"</f>
        <v>روغن 20 ليتري ( shell Vitrea 27 -33 )</v>
      </c>
      <c r="F1980" s="3" t="str">
        <f>"گالن"</f>
        <v>گالن</v>
      </c>
      <c r="G1980" s="3">
        <v>15</v>
      </c>
      <c r="H1980" s="5">
        <v>42500000</v>
      </c>
    </row>
    <row r="1981" spans="1:8" ht="18.75" x14ac:dyDescent="0.2">
      <c r="A1981" s="3" t="str">
        <f t="shared" si="244"/>
        <v>98/11/26</v>
      </c>
      <c r="B1981" s="3" t="str">
        <f t="shared" si="245"/>
        <v>كالاهاي مصرفي</v>
      </c>
      <c r="C1981" s="3" t="str">
        <f t="shared" si="248"/>
        <v>انبار مصرفي ZU1</v>
      </c>
      <c r="D1981" s="3" t="str">
        <f>"0204000750"</f>
        <v>0204000750</v>
      </c>
      <c r="E1981" s="3" t="str">
        <f>"واشر اورينگ رزيني 6*(5-)870"</f>
        <v>واشر اورينگ رزيني 6*(5-)870</v>
      </c>
      <c r="F1981" s="3" t="str">
        <f>"عدد"</f>
        <v>عدد</v>
      </c>
      <c r="G1981" s="3">
        <v>50</v>
      </c>
      <c r="H1981" s="5">
        <v>42500000</v>
      </c>
    </row>
    <row r="1982" spans="1:8" ht="18.75" x14ac:dyDescent="0.2">
      <c r="A1982" s="3" t="str">
        <f t="shared" si="244"/>
        <v>98/11/26</v>
      </c>
      <c r="B1982" s="3" t="str">
        <f t="shared" si="245"/>
        <v>كالاهاي مصرفي</v>
      </c>
      <c r="C1982" s="3" t="str">
        <f t="shared" si="248"/>
        <v>انبار مصرفي ZU1</v>
      </c>
      <c r="D1982" s="3" t="str">
        <f>"0204000154"</f>
        <v>0204000154</v>
      </c>
      <c r="E1982" s="3" t="str">
        <f>"بيرينگ 2Z/C3-6316"</f>
        <v>بيرينگ 2Z/C3-6316</v>
      </c>
      <c r="F1982" s="3" t="str">
        <f>"عدد"</f>
        <v>عدد</v>
      </c>
      <c r="G1982" s="3">
        <v>13</v>
      </c>
      <c r="H1982" s="5">
        <v>42640000</v>
      </c>
    </row>
    <row r="1983" spans="1:8" ht="18.75" x14ac:dyDescent="0.2">
      <c r="A1983" s="3" t="str">
        <f t="shared" si="244"/>
        <v>98/11/26</v>
      </c>
      <c r="B1983" s="3" t="str">
        <f t="shared" si="245"/>
        <v>كالاهاي مصرفي</v>
      </c>
      <c r="C1983" s="3" t="str">
        <f t="shared" si="248"/>
        <v>انبار مصرفي ZU1</v>
      </c>
      <c r="D1983" s="3" t="str">
        <f>"0211001525"</f>
        <v>0211001525</v>
      </c>
      <c r="E1983" s="3" t="str">
        <f>"هلدر نگهدارنده ديسك فدا شونده 2 اينچ"</f>
        <v>هلدر نگهدارنده ديسك فدا شونده 2 اينچ</v>
      </c>
      <c r="F1983" s="3" t="str">
        <f>"عدد"</f>
        <v>عدد</v>
      </c>
      <c r="G1983" s="3">
        <v>4</v>
      </c>
      <c r="H1983" s="5">
        <v>42680000</v>
      </c>
    </row>
    <row r="1984" spans="1:8" ht="18.75" x14ac:dyDescent="0.2">
      <c r="A1984" s="3" t="str">
        <f t="shared" si="244"/>
        <v>98/11/26</v>
      </c>
      <c r="B1984" s="3" t="str">
        <f t="shared" si="245"/>
        <v>كالاهاي مصرفي</v>
      </c>
      <c r="C1984" s="3" t="str">
        <f>"انبار مركزي ( عمومي )"</f>
        <v>انبار مركزي ( عمومي )</v>
      </c>
      <c r="D1984" s="3" t="str">
        <f>"0213000917"</f>
        <v>0213000917</v>
      </c>
      <c r="E1984" s="3" t="str">
        <f>"قفل آويز نمره 70"</f>
        <v>قفل آويز نمره 70</v>
      </c>
      <c r="F1984" s="3" t="str">
        <f>"عدد"</f>
        <v>عدد</v>
      </c>
      <c r="G1984" s="3">
        <v>45</v>
      </c>
      <c r="H1984" s="5">
        <v>42750000</v>
      </c>
    </row>
    <row r="1985" spans="1:8" ht="18.75" x14ac:dyDescent="0.2">
      <c r="A1985" s="3" t="str">
        <f t="shared" si="244"/>
        <v>98/11/26</v>
      </c>
      <c r="B1985" s="3" t="str">
        <f t="shared" si="245"/>
        <v>كالاهاي مصرفي</v>
      </c>
      <c r="C1985" s="3" t="str">
        <f t="shared" ref="C1985:C1993" si="249">"انبار مصرفي ZU1"</f>
        <v>انبار مصرفي ZU1</v>
      </c>
      <c r="D1985" s="3" t="str">
        <f>"0213001045"</f>
        <v>0213001045</v>
      </c>
      <c r="E1985" s="3" t="str">
        <f>"سيم بکسل استيل مغز کنفي قطر 10 ميليمتر"</f>
        <v>سيم بکسل استيل مغز کنفي قطر 10 ميليمتر</v>
      </c>
      <c r="F1985" s="3" t="str">
        <f>"متر"</f>
        <v>متر</v>
      </c>
      <c r="G1985" s="3">
        <v>90</v>
      </c>
      <c r="H1985" s="5">
        <v>43515000</v>
      </c>
    </row>
    <row r="1986" spans="1:8" ht="18.75" x14ac:dyDescent="0.2">
      <c r="A1986" s="3" t="str">
        <f t="shared" ref="A1986:A2049" si="250">"98/11/26"</f>
        <v>98/11/26</v>
      </c>
      <c r="B1986" s="3" t="str">
        <f t="shared" ref="B1986:B2049" si="251">"كالاهاي مصرفي"</f>
        <v>كالاهاي مصرفي</v>
      </c>
      <c r="C1986" s="3" t="str">
        <f t="shared" si="249"/>
        <v>انبار مصرفي ZU1</v>
      </c>
      <c r="D1986" s="3" t="str">
        <f>"0204001543"</f>
        <v>0204001543</v>
      </c>
      <c r="E1986" s="3" t="str">
        <f>"كاسه نمد TPB 100280-T251V(28*40*7"</f>
        <v>كاسه نمد TPB 100280-T251V(28*40*7</v>
      </c>
      <c r="F1986" s="3" t="str">
        <f>"عدد"</f>
        <v>عدد</v>
      </c>
      <c r="G1986" s="3">
        <v>20</v>
      </c>
      <c r="H1986" s="5">
        <v>43600000</v>
      </c>
    </row>
    <row r="1987" spans="1:8" ht="18.75" x14ac:dyDescent="0.2">
      <c r="A1987" s="3" t="str">
        <f t="shared" si="250"/>
        <v>98/11/26</v>
      </c>
      <c r="B1987" s="3" t="str">
        <f t="shared" si="251"/>
        <v>كالاهاي مصرفي</v>
      </c>
      <c r="C1987" s="3" t="str">
        <f t="shared" si="249"/>
        <v>انبار مصرفي ZU1</v>
      </c>
      <c r="D1987" s="3" t="str">
        <f>"0214000404"</f>
        <v>0214000404</v>
      </c>
      <c r="E1987" s="3" t="s">
        <v>8</v>
      </c>
      <c r="F1987" s="3" t="str">
        <f>"کيلوگرم"</f>
        <v>کيلوگرم</v>
      </c>
      <c r="G1987" s="3">
        <v>20</v>
      </c>
      <c r="H1987" s="5">
        <v>44000000</v>
      </c>
    </row>
    <row r="1988" spans="1:8" ht="18.75" x14ac:dyDescent="0.2">
      <c r="A1988" s="3" t="str">
        <f t="shared" si="250"/>
        <v>98/11/26</v>
      </c>
      <c r="B1988" s="3" t="str">
        <f t="shared" si="251"/>
        <v>كالاهاي مصرفي</v>
      </c>
      <c r="C1988" s="3" t="str">
        <f t="shared" si="249"/>
        <v>انبار مصرفي ZU1</v>
      </c>
      <c r="D1988" s="3" t="str">
        <f>"0213000228"</f>
        <v>0213000228</v>
      </c>
      <c r="E1988" s="3" t="str">
        <f>"مهره M36"</f>
        <v>مهره M36</v>
      </c>
      <c r="F1988" s="3" t="str">
        <f t="shared" ref="F1988:F1994" si="252">"عدد"</f>
        <v>عدد</v>
      </c>
      <c r="G1988" s="3">
        <v>674</v>
      </c>
      <c r="H1988" s="5">
        <v>44048493</v>
      </c>
    </row>
    <row r="1989" spans="1:8" ht="18.75" x14ac:dyDescent="0.2">
      <c r="A1989" s="3" t="str">
        <f t="shared" si="250"/>
        <v>98/11/26</v>
      </c>
      <c r="B1989" s="3" t="str">
        <f t="shared" si="251"/>
        <v>كالاهاي مصرفي</v>
      </c>
      <c r="C1989" s="3" t="str">
        <f t="shared" si="249"/>
        <v>انبار مصرفي ZU1</v>
      </c>
      <c r="D1989" s="3" t="str">
        <f>"0204000151"</f>
        <v>0204000151</v>
      </c>
      <c r="E1989" s="3" t="str">
        <f>"بيرينگ 6320-C3"</f>
        <v>بيرينگ 6320-C3</v>
      </c>
      <c r="F1989" s="3" t="str">
        <f t="shared" si="252"/>
        <v>عدد</v>
      </c>
      <c r="G1989" s="3">
        <v>6</v>
      </c>
      <c r="H1989" s="5">
        <v>44064000</v>
      </c>
    </row>
    <row r="1990" spans="1:8" ht="18.75" x14ac:dyDescent="0.2">
      <c r="A1990" s="3" t="str">
        <f t="shared" si="250"/>
        <v>98/11/26</v>
      </c>
      <c r="B1990" s="3" t="str">
        <f t="shared" si="251"/>
        <v>كالاهاي مصرفي</v>
      </c>
      <c r="C1990" s="3" t="str">
        <f t="shared" si="249"/>
        <v>انبار مصرفي ZU1</v>
      </c>
      <c r="D1990" s="3" t="str">
        <f>"0204000155"</f>
        <v>0204000155</v>
      </c>
      <c r="E1990" s="3" t="str">
        <f>"بيرينگ BCBM-7322"</f>
        <v>بيرينگ BCBM-7322</v>
      </c>
      <c r="F1990" s="3" t="str">
        <f t="shared" si="252"/>
        <v>عدد</v>
      </c>
      <c r="G1990" s="3">
        <v>4</v>
      </c>
      <c r="H1990" s="5">
        <v>44200000</v>
      </c>
    </row>
    <row r="1991" spans="1:8" ht="18.75" x14ac:dyDescent="0.2">
      <c r="A1991" s="3" t="str">
        <f t="shared" si="250"/>
        <v>98/11/26</v>
      </c>
      <c r="B1991" s="3" t="str">
        <f t="shared" si="251"/>
        <v>كالاهاي مصرفي</v>
      </c>
      <c r="C1991" s="3" t="str">
        <f t="shared" si="249"/>
        <v>انبار مصرفي ZU1</v>
      </c>
      <c r="D1991" s="3" t="str">
        <f>"0207000022"</f>
        <v>0207000022</v>
      </c>
      <c r="E1991" s="3" t="str">
        <f>"شيلنگ انعطاف پذير فلزي DN=80mm . L1000mm"</f>
        <v>شيلنگ انعطاف پذير فلزي DN=80mm . L1000mm</v>
      </c>
      <c r="F1991" s="3" t="str">
        <f t="shared" si="252"/>
        <v>عدد</v>
      </c>
      <c r="G1991" s="3">
        <v>5</v>
      </c>
      <c r="H1991" s="5">
        <v>44500000</v>
      </c>
    </row>
    <row r="1992" spans="1:8" ht="18.75" x14ac:dyDescent="0.2">
      <c r="A1992" s="3" t="str">
        <f t="shared" si="250"/>
        <v>98/11/26</v>
      </c>
      <c r="B1992" s="3" t="str">
        <f t="shared" si="251"/>
        <v>كالاهاي مصرفي</v>
      </c>
      <c r="C1992" s="3" t="str">
        <f t="shared" si="249"/>
        <v>انبار مصرفي ZU1</v>
      </c>
      <c r="D1992" s="3" t="str">
        <f>"0601000074"</f>
        <v>0601000074</v>
      </c>
      <c r="E1992" s="3" t="str">
        <f>"پيش بند ضد اسيد"</f>
        <v>پيش بند ضد اسيد</v>
      </c>
      <c r="F1992" s="3" t="str">
        <f t="shared" si="252"/>
        <v>عدد</v>
      </c>
      <c r="G1992" s="3">
        <v>81</v>
      </c>
      <c r="H1992" s="5">
        <v>44550000</v>
      </c>
    </row>
    <row r="1993" spans="1:8" ht="18.75" x14ac:dyDescent="0.2">
      <c r="A1993" s="3" t="str">
        <f t="shared" si="250"/>
        <v>98/11/26</v>
      </c>
      <c r="B1993" s="3" t="str">
        <f t="shared" si="251"/>
        <v>كالاهاي مصرفي</v>
      </c>
      <c r="C1993" s="3" t="str">
        <f t="shared" si="249"/>
        <v>انبار مصرفي ZU1</v>
      </c>
      <c r="D1993" s="3" t="str">
        <f>"0204001009"</f>
        <v>0204001009</v>
      </c>
      <c r="E1993" s="3" t="str">
        <f>"بيرينگ NU217 ECJ/C3"</f>
        <v>بيرينگ NU217 ECJ/C3</v>
      </c>
      <c r="F1993" s="3" t="str">
        <f t="shared" si="252"/>
        <v>عدد</v>
      </c>
      <c r="G1993" s="3">
        <v>10</v>
      </c>
      <c r="H1993" s="5">
        <v>45000000</v>
      </c>
    </row>
    <row r="1994" spans="1:8" ht="18.75" x14ac:dyDescent="0.2">
      <c r="A1994" s="3" t="str">
        <f t="shared" si="250"/>
        <v>98/11/26</v>
      </c>
      <c r="B1994" s="3" t="str">
        <f t="shared" si="251"/>
        <v>كالاهاي مصرفي</v>
      </c>
      <c r="C1994" s="3" t="str">
        <f>"انبار مركزي ( عمومي )"</f>
        <v>انبار مركزي ( عمومي )</v>
      </c>
      <c r="D1994" s="3" t="str">
        <f>"0206000441"</f>
        <v>0206000441</v>
      </c>
      <c r="E1994" s="3" t="str">
        <f>"شير پيسوار 1/2 به 3/4"</f>
        <v>شير پيسوار 1/2 به 3/4</v>
      </c>
      <c r="F1994" s="3" t="str">
        <f t="shared" si="252"/>
        <v>عدد</v>
      </c>
      <c r="G1994" s="3">
        <v>30</v>
      </c>
      <c r="H1994" s="5">
        <v>45000000</v>
      </c>
    </row>
    <row r="1995" spans="1:8" ht="18.75" x14ac:dyDescent="0.2">
      <c r="A1995" s="3" t="str">
        <f t="shared" si="250"/>
        <v>98/11/26</v>
      </c>
      <c r="B1995" s="3" t="str">
        <f t="shared" si="251"/>
        <v>كالاهاي مصرفي</v>
      </c>
      <c r="C1995" s="3" t="str">
        <f t="shared" ref="C1995:C2003" si="253">"انبار مصرفي ZU1"</f>
        <v>انبار مصرفي ZU1</v>
      </c>
      <c r="D1995" s="3" t="str">
        <f>"0204001765"</f>
        <v>0204001765</v>
      </c>
      <c r="E1995" s="3" t="str">
        <f>"اورينگ HNBR ضخامت 3 ميليمتر"</f>
        <v>اورينگ HNBR ضخامت 3 ميليمتر</v>
      </c>
      <c r="F1995" s="3" t="str">
        <f>"متر"</f>
        <v>متر</v>
      </c>
      <c r="G1995" s="3">
        <v>49</v>
      </c>
      <c r="H1995" s="5">
        <v>45472000</v>
      </c>
    </row>
    <row r="1996" spans="1:8" ht="18.75" x14ac:dyDescent="0.2">
      <c r="A1996" s="3" t="str">
        <f t="shared" si="250"/>
        <v>98/11/26</v>
      </c>
      <c r="B1996" s="3" t="str">
        <f t="shared" si="251"/>
        <v>كالاهاي مصرفي</v>
      </c>
      <c r="C1996" s="3" t="str">
        <f t="shared" si="253"/>
        <v>انبار مصرفي ZU1</v>
      </c>
      <c r="D1996" s="3" t="str">
        <f>"0204000460"</f>
        <v>0204000460</v>
      </c>
      <c r="E1996" s="3" t="str">
        <f>"گسكت مقاوم به اسيد و روغن ضخامت 5 FRENZElIT"</f>
        <v>گسكت مقاوم به اسيد و روغن ضخامت 5 FRENZElIT</v>
      </c>
      <c r="F1996" s="3" t="str">
        <f>"متر مربع"</f>
        <v>متر مربع</v>
      </c>
      <c r="G1996" s="3">
        <v>2</v>
      </c>
      <c r="H1996" s="5">
        <v>45600000</v>
      </c>
    </row>
    <row r="1997" spans="1:8" ht="18.75" x14ac:dyDescent="0.2">
      <c r="A1997" s="3" t="str">
        <f t="shared" si="250"/>
        <v>98/11/26</v>
      </c>
      <c r="B1997" s="3" t="str">
        <f t="shared" si="251"/>
        <v>كالاهاي مصرفي</v>
      </c>
      <c r="C1997" s="3" t="str">
        <f t="shared" si="253"/>
        <v>انبار مصرفي ZU1</v>
      </c>
      <c r="D1997" s="3" t="str">
        <f>"0106000125"</f>
        <v>0106000125</v>
      </c>
      <c r="E1997" s="3" t="str">
        <f>"گريس Shell Cardiumm Compound A سطل 18 كيلويي"</f>
        <v>گريس Shell Cardiumm Compound A سطل 18 كيلويي</v>
      </c>
      <c r="F1997" s="3" t="str">
        <f>"سطل"</f>
        <v>سطل</v>
      </c>
      <c r="G1997" s="3">
        <v>7</v>
      </c>
      <c r="H1997" s="5">
        <v>45696388</v>
      </c>
    </row>
    <row r="1998" spans="1:8" ht="18.75" x14ac:dyDescent="0.2">
      <c r="A1998" s="3" t="str">
        <f t="shared" si="250"/>
        <v>98/11/26</v>
      </c>
      <c r="B1998" s="3" t="str">
        <f t="shared" si="251"/>
        <v>كالاهاي مصرفي</v>
      </c>
      <c r="C1998" s="3" t="str">
        <f t="shared" si="253"/>
        <v>انبار مصرفي ZU1</v>
      </c>
      <c r="D1998" s="3" t="str">
        <f>"0204000133"</f>
        <v>0204000133</v>
      </c>
      <c r="E1998" s="3" t="str">
        <f>"پكينگ آبندي فشاري 8*8 تفلون خالص"</f>
        <v>پكينگ آبندي فشاري 8*8 تفلون خالص</v>
      </c>
      <c r="F1998" s="3" t="str">
        <f>"کيلوگرم"</f>
        <v>کيلوگرم</v>
      </c>
      <c r="G1998" s="3">
        <v>25</v>
      </c>
      <c r="H1998" s="5">
        <v>46000000</v>
      </c>
    </row>
    <row r="1999" spans="1:8" ht="18.75" x14ac:dyDescent="0.2">
      <c r="A1999" s="3" t="str">
        <f t="shared" si="250"/>
        <v>98/11/26</v>
      </c>
      <c r="B1999" s="3" t="str">
        <f t="shared" si="251"/>
        <v>كالاهاي مصرفي</v>
      </c>
      <c r="C1999" s="3" t="str">
        <f t="shared" si="253"/>
        <v>انبار مصرفي ZU1</v>
      </c>
      <c r="D1999" s="3" t="str">
        <f>"0204000494"</f>
        <v>0204000494</v>
      </c>
      <c r="E1999" s="3" t="str">
        <f>"صفحات لاستيك آببندي مقاوم در مقابل محيط اسيدي،بازي و روغن ضخامت 6"</f>
        <v>صفحات لاستيك آببندي مقاوم در مقابل محيط اسيدي،بازي و روغن ضخامت 6</v>
      </c>
      <c r="F1999" s="3" t="str">
        <f>"کيلوگرم"</f>
        <v>کيلوگرم</v>
      </c>
      <c r="G1999" s="3">
        <v>56</v>
      </c>
      <c r="H1999" s="5">
        <v>46200000</v>
      </c>
    </row>
    <row r="2000" spans="1:8" ht="18.75" x14ac:dyDescent="0.2">
      <c r="A2000" s="3" t="str">
        <f t="shared" si="250"/>
        <v>98/11/26</v>
      </c>
      <c r="B2000" s="3" t="str">
        <f t="shared" si="251"/>
        <v>كالاهاي مصرفي</v>
      </c>
      <c r="C2000" s="3" t="str">
        <f t="shared" si="253"/>
        <v>انبار مصرفي ZU1</v>
      </c>
      <c r="D2000" s="3" t="str">
        <f>"0213000860"</f>
        <v>0213000860</v>
      </c>
      <c r="E2000" s="3" t="str">
        <f>"سمباده رولي P320"</f>
        <v>سمباده رولي P320</v>
      </c>
      <c r="F2000" s="3" t="str">
        <f>"رول"</f>
        <v>رول</v>
      </c>
      <c r="G2000" s="3">
        <v>14</v>
      </c>
      <c r="H2000" s="5">
        <v>46293333</v>
      </c>
    </row>
    <row r="2001" spans="1:8" ht="18.75" x14ac:dyDescent="0.2">
      <c r="A2001" s="3" t="str">
        <f t="shared" si="250"/>
        <v>98/11/26</v>
      </c>
      <c r="B2001" s="3" t="str">
        <f t="shared" si="251"/>
        <v>كالاهاي مصرفي</v>
      </c>
      <c r="C2001" s="3" t="str">
        <f t="shared" si="253"/>
        <v>انبار مصرفي ZU1</v>
      </c>
      <c r="D2001" s="3" t="str">
        <f>"0204000070"</f>
        <v>0204000070</v>
      </c>
      <c r="E2001" s="3" t="str">
        <f>"بيرينگ  21314"</f>
        <v>بيرينگ  21314</v>
      </c>
      <c r="F2001" s="3" t="str">
        <f t="shared" ref="F2001:F2007" si="254">"عدد"</f>
        <v>عدد</v>
      </c>
      <c r="G2001" s="3">
        <v>10</v>
      </c>
      <c r="H2001" s="5">
        <v>46548335</v>
      </c>
    </row>
    <row r="2002" spans="1:8" ht="18.75" x14ac:dyDescent="0.2">
      <c r="A2002" s="3" t="str">
        <f t="shared" si="250"/>
        <v>98/11/26</v>
      </c>
      <c r="B2002" s="3" t="str">
        <f t="shared" si="251"/>
        <v>كالاهاي مصرفي</v>
      </c>
      <c r="C2002" s="3" t="str">
        <f t="shared" si="253"/>
        <v>انبار مصرفي ZU1</v>
      </c>
      <c r="D2002" s="3" t="str">
        <f>"0215000176"</f>
        <v>0215000176</v>
      </c>
      <c r="E2002" s="3" t="str">
        <f>"فيلتر روغن الكتروموتور VS"</f>
        <v>فيلتر روغن الكتروموتور VS</v>
      </c>
      <c r="F2002" s="3" t="str">
        <f t="shared" si="254"/>
        <v>عدد</v>
      </c>
      <c r="G2002" s="3">
        <v>17</v>
      </c>
      <c r="H2002" s="5">
        <v>46800000</v>
      </c>
    </row>
    <row r="2003" spans="1:8" ht="18.75" x14ac:dyDescent="0.2">
      <c r="A2003" s="3" t="str">
        <f t="shared" si="250"/>
        <v>98/11/26</v>
      </c>
      <c r="B2003" s="3" t="str">
        <f t="shared" si="251"/>
        <v>كالاهاي مصرفي</v>
      </c>
      <c r="C2003" s="3" t="str">
        <f t="shared" si="253"/>
        <v>انبار مصرفي ZU1</v>
      </c>
      <c r="D2003" s="3" t="str">
        <f>"0211000260"</f>
        <v>0211000260</v>
      </c>
      <c r="E2003" s="3" t="str">
        <f>"ضربه گير لاستيكي پمپ"</f>
        <v>ضربه گير لاستيكي پمپ</v>
      </c>
      <c r="F2003" s="3" t="str">
        <f t="shared" si="254"/>
        <v>عدد</v>
      </c>
      <c r="G2003" s="3">
        <v>231</v>
      </c>
      <c r="H2003" s="5">
        <v>47154092</v>
      </c>
    </row>
    <row r="2004" spans="1:8" ht="18.75" x14ac:dyDescent="0.2">
      <c r="A2004" s="3" t="str">
        <f t="shared" si="250"/>
        <v>98/11/26</v>
      </c>
      <c r="B2004" s="3" t="str">
        <f t="shared" si="251"/>
        <v>كالاهاي مصرفي</v>
      </c>
      <c r="C2004" s="3" t="str">
        <f>"انبار مركزي ( عمومي )"</f>
        <v>انبار مركزي ( عمومي )</v>
      </c>
      <c r="D2004" s="3" t="str">
        <f>"0601000164"</f>
        <v>0601000164</v>
      </c>
      <c r="E2004" s="3" t="str">
        <f>"كمربند ايمني خلباني"</f>
        <v>كمربند ايمني خلباني</v>
      </c>
      <c r="F2004" s="3" t="str">
        <f t="shared" si="254"/>
        <v>عدد</v>
      </c>
      <c r="G2004" s="3">
        <v>40</v>
      </c>
      <c r="H2004" s="5">
        <v>47200000</v>
      </c>
    </row>
    <row r="2005" spans="1:8" ht="18.75" x14ac:dyDescent="0.2">
      <c r="A2005" s="3" t="str">
        <f t="shared" si="250"/>
        <v>98/11/26</v>
      </c>
      <c r="B2005" s="3" t="str">
        <f t="shared" si="251"/>
        <v>كالاهاي مصرفي</v>
      </c>
      <c r="C2005" s="3" t="str">
        <f t="shared" ref="C2005:C2022" si="255">"انبار مصرفي ZU1"</f>
        <v>انبار مصرفي ZU1</v>
      </c>
      <c r="D2005" s="3" t="str">
        <f>"0213000579"</f>
        <v>0213000579</v>
      </c>
      <c r="E2005" s="3" t="str">
        <f>"برس كاسه اي استيل"</f>
        <v>برس كاسه اي استيل</v>
      </c>
      <c r="F2005" s="3" t="str">
        <f t="shared" si="254"/>
        <v>عدد</v>
      </c>
      <c r="G2005" s="3">
        <v>135</v>
      </c>
      <c r="H2005" s="5">
        <v>47250000</v>
      </c>
    </row>
    <row r="2006" spans="1:8" ht="18.75" x14ac:dyDescent="0.2">
      <c r="A2006" s="3" t="str">
        <f t="shared" si="250"/>
        <v>98/11/26</v>
      </c>
      <c r="B2006" s="3" t="str">
        <f t="shared" si="251"/>
        <v>كالاهاي مصرفي</v>
      </c>
      <c r="C2006" s="3" t="str">
        <f t="shared" si="255"/>
        <v>انبار مصرفي ZU1</v>
      </c>
      <c r="D2006" s="3" t="str">
        <f>"0215000087"</f>
        <v>0215000087</v>
      </c>
      <c r="E2006" s="3" t="str">
        <f>"فيلتر كيسه اي 300*287*592 -F5"</f>
        <v>فيلتر كيسه اي 300*287*592 -F5</v>
      </c>
      <c r="F2006" s="3" t="str">
        <f t="shared" si="254"/>
        <v>عدد</v>
      </c>
      <c r="G2006" s="3">
        <v>190</v>
      </c>
      <c r="H2006" s="5">
        <v>47403390</v>
      </c>
    </row>
    <row r="2007" spans="1:8" ht="18.75" x14ac:dyDescent="0.2">
      <c r="A2007" s="3" t="str">
        <f t="shared" si="250"/>
        <v>98/11/26</v>
      </c>
      <c r="B2007" s="3" t="str">
        <f t="shared" si="251"/>
        <v>كالاهاي مصرفي</v>
      </c>
      <c r="C2007" s="3" t="str">
        <f t="shared" si="255"/>
        <v>انبار مصرفي ZU1</v>
      </c>
      <c r="D2007" s="3" t="str">
        <f>"0204002203"</f>
        <v>0204002203</v>
      </c>
      <c r="E2007" s="3" t="str">
        <f>"پكينگ اهرم اينتر كولر UF"</f>
        <v>پكينگ اهرم اينتر كولر UF</v>
      </c>
      <c r="F2007" s="3" t="str">
        <f t="shared" si="254"/>
        <v>عدد</v>
      </c>
      <c r="G2007" s="3">
        <v>34</v>
      </c>
      <c r="H2007" s="5">
        <v>47600000</v>
      </c>
    </row>
    <row r="2008" spans="1:8" ht="18.75" x14ac:dyDescent="0.2">
      <c r="A2008" s="3" t="str">
        <f t="shared" si="250"/>
        <v>98/11/26</v>
      </c>
      <c r="B2008" s="3" t="str">
        <f t="shared" si="251"/>
        <v>كالاهاي مصرفي</v>
      </c>
      <c r="C2008" s="3" t="str">
        <f t="shared" si="255"/>
        <v>انبار مصرفي ZU1</v>
      </c>
      <c r="D2008" s="3" t="str">
        <f>"0213000110"</f>
        <v>0213000110</v>
      </c>
      <c r="E2008" s="3" t="str">
        <f>"پيچ تمام رزوه استنلس استيل M12"</f>
        <v>پيچ تمام رزوه استنلس استيل M12</v>
      </c>
      <c r="F2008" s="3" t="str">
        <f>"متر"</f>
        <v>متر</v>
      </c>
      <c r="G2008" s="3">
        <v>56</v>
      </c>
      <c r="H2008" s="5">
        <v>47600000</v>
      </c>
    </row>
    <row r="2009" spans="1:8" ht="18.75" x14ac:dyDescent="0.2">
      <c r="A2009" s="3" t="str">
        <f t="shared" si="250"/>
        <v>98/11/26</v>
      </c>
      <c r="B2009" s="3" t="str">
        <f t="shared" si="251"/>
        <v>كالاهاي مصرفي</v>
      </c>
      <c r="C2009" s="3" t="str">
        <f t="shared" si="255"/>
        <v>انبار مصرفي ZU1</v>
      </c>
      <c r="D2009" s="3" t="str">
        <f>"0204000254"</f>
        <v>0204000254</v>
      </c>
      <c r="E2009" s="3" t="str">
        <f>"پكينگ آبندي فشاري 12 *12 شير تفلون آزبستي"</f>
        <v>پكينگ آبندي فشاري 12 *12 شير تفلون آزبستي</v>
      </c>
      <c r="F2009" s="3" t="str">
        <f>"کيلوگرم"</f>
        <v>کيلوگرم</v>
      </c>
      <c r="G2009" s="3">
        <v>42.66</v>
      </c>
      <c r="H2009" s="5">
        <v>48000000</v>
      </c>
    </row>
    <row r="2010" spans="1:8" ht="18.75" x14ac:dyDescent="0.2">
      <c r="A2010" s="3" t="str">
        <f t="shared" si="250"/>
        <v>98/11/26</v>
      </c>
      <c r="B2010" s="3" t="str">
        <f t="shared" si="251"/>
        <v>كالاهاي مصرفي</v>
      </c>
      <c r="C2010" s="3" t="str">
        <f t="shared" si="255"/>
        <v>انبار مصرفي ZU1</v>
      </c>
      <c r="D2010" s="3" t="str">
        <f>"0204001748"</f>
        <v>0204001748</v>
      </c>
      <c r="E2010" s="3" t="str">
        <f>"پكينگ آبندي فشاري 14 *14 شير تفلون آزبستي"</f>
        <v>پكينگ آبندي فشاري 14 *14 شير تفلون آزبستي</v>
      </c>
      <c r="F2010" s="3" t="str">
        <f>"کيلوگرم"</f>
        <v>کيلوگرم</v>
      </c>
      <c r="G2010" s="3">
        <v>40.799999999999997</v>
      </c>
      <c r="H2010" s="5">
        <v>48000000</v>
      </c>
    </row>
    <row r="2011" spans="1:8" ht="18.75" x14ac:dyDescent="0.2">
      <c r="A2011" s="3" t="str">
        <f t="shared" si="250"/>
        <v>98/11/26</v>
      </c>
      <c r="B2011" s="3" t="str">
        <f t="shared" si="251"/>
        <v>كالاهاي مصرفي</v>
      </c>
      <c r="C2011" s="3" t="str">
        <f t="shared" si="255"/>
        <v>انبار مصرفي ZU1</v>
      </c>
      <c r="D2011" s="3" t="str">
        <f>"0206000750"</f>
        <v>0206000750</v>
      </c>
      <c r="E2011" s="3" t="str">
        <f>"بست كمربندي پلاستيكي 60 سانتي"</f>
        <v>بست كمربندي پلاستيكي 60 سانتي</v>
      </c>
      <c r="F2011" s="3" t="str">
        <f>"بسته"</f>
        <v>بسته</v>
      </c>
      <c r="G2011" s="3">
        <v>24</v>
      </c>
      <c r="H2011" s="5">
        <v>48000000</v>
      </c>
    </row>
    <row r="2012" spans="1:8" ht="18.75" x14ac:dyDescent="0.2">
      <c r="A2012" s="3" t="str">
        <f t="shared" si="250"/>
        <v>98/11/26</v>
      </c>
      <c r="B2012" s="3" t="str">
        <f t="shared" si="251"/>
        <v>كالاهاي مصرفي</v>
      </c>
      <c r="C2012" s="3" t="str">
        <f t="shared" si="255"/>
        <v>انبار مصرفي ZU1</v>
      </c>
      <c r="D2012" s="3" t="str">
        <f>"0204001010"</f>
        <v>0204001010</v>
      </c>
      <c r="E2012" s="3" t="str">
        <f>"بيرينگ NU214 ECJ/C3"</f>
        <v>بيرينگ NU214 ECJ/C3</v>
      </c>
      <c r="F2012" s="3" t="str">
        <f>"عدد"</f>
        <v>عدد</v>
      </c>
      <c r="G2012" s="3">
        <v>15</v>
      </c>
      <c r="H2012" s="5">
        <v>48600000</v>
      </c>
    </row>
    <row r="2013" spans="1:8" ht="18.75" x14ac:dyDescent="0.2">
      <c r="A2013" s="3" t="str">
        <f t="shared" si="250"/>
        <v>98/11/26</v>
      </c>
      <c r="B2013" s="3" t="str">
        <f t="shared" si="251"/>
        <v>كالاهاي مصرفي</v>
      </c>
      <c r="C2013" s="3" t="str">
        <f t="shared" si="255"/>
        <v>انبار مصرفي ZU1</v>
      </c>
      <c r="D2013" s="3" t="str">
        <f>"0214000227"</f>
        <v>0214000227</v>
      </c>
      <c r="E2013" s="3" t="str">
        <f>"ورقه تفلوني ( فتاراپلاست)  ضخامت  6 ميلي متر"</f>
        <v>ورقه تفلوني ( فتاراپلاست)  ضخامت  6 ميلي متر</v>
      </c>
      <c r="F2013" s="3" t="str">
        <f>"متر مربع"</f>
        <v>متر مربع</v>
      </c>
      <c r="G2013" s="3">
        <v>2</v>
      </c>
      <c r="H2013" s="5">
        <v>48860000</v>
      </c>
    </row>
    <row r="2014" spans="1:8" ht="18.75" x14ac:dyDescent="0.2">
      <c r="A2014" s="3" t="str">
        <f t="shared" si="250"/>
        <v>98/11/26</v>
      </c>
      <c r="B2014" s="3" t="str">
        <f t="shared" si="251"/>
        <v>كالاهاي مصرفي</v>
      </c>
      <c r="C2014" s="3" t="str">
        <f t="shared" si="255"/>
        <v>انبار مصرفي ZU1</v>
      </c>
      <c r="D2014" s="3" t="str">
        <f>"0204000564"</f>
        <v>0204000564</v>
      </c>
      <c r="E2014" s="3" t="str">
        <f>"بيرينگ-  7316BEGAM"</f>
        <v>بيرينگ-  7316BEGAM</v>
      </c>
      <c r="F2014" s="3" t="str">
        <f>"عدد"</f>
        <v>عدد</v>
      </c>
      <c r="G2014" s="3">
        <v>7</v>
      </c>
      <c r="H2014" s="5">
        <v>49000000</v>
      </c>
    </row>
    <row r="2015" spans="1:8" ht="18.75" x14ac:dyDescent="0.2">
      <c r="A2015" s="3" t="str">
        <f t="shared" si="250"/>
        <v>98/11/26</v>
      </c>
      <c r="B2015" s="3" t="str">
        <f t="shared" si="251"/>
        <v>كالاهاي مصرفي</v>
      </c>
      <c r="C2015" s="3" t="str">
        <f t="shared" si="255"/>
        <v>انبار مصرفي ZU1</v>
      </c>
      <c r="D2015" s="3" t="str">
        <f>"0209000144"</f>
        <v>0209000144</v>
      </c>
      <c r="E2015" s="3" t="str">
        <f>"shaft  SleeVe  RR001"</f>
        <v>shaft  SleeVe  RR001</v>
      </c>
      <c r="F2015" s="3" t="str">
        <f>"عدد"</f>
        <v>عدد</v>
      </c>
      <c r="G2015" s="3">
        <v>1</v>
      </c>
      <c r="H2015" s="5">
        <v>49000000</v>
      </c>
    </row>
    <row r="2016" spans="1:8" ht="18.75" x14ac:dyDescent="0.2">
      <c r="A2016" s="3" t="str">
        <f t="shared" si="250"/>
        <v>98/11/26</v>
      </c>
      <c r="B2016" s="3" t="str">
        <f t="shared" si="251"/>
        <v>كالاهاي مصرفي</v>
      </c>
      <c r="C2016" s="3" t="str">
        <f t="shared" si="255"/>
        <v>انبار مصرفي ZU1</v>
      </c>
      <c r="D2016" s="3" t="str">
        <f>"0204001788"</f>
        <v>0204001788</v>
      </c>
      <c r="E2016" s="3" t="str">
        <f>"بيرينگ 2316 NU"</f>
        <v>بيرينگ 2316 NU</v>
      </c>
      <c r="F2016" s="3" t="str">
        <f>"عدد"</f>
        <v>عدد</v>
      </c>
      <c r="G2016" s="3">
        <v>6</v>
      </c>
      <c r="H2016" s="5">
        <v>49470000</v>
      </c>
    </row>
    <row r="2017" spans="1:8" ht="18.75" x14ac:dyDescent="0.2">
      <c r="A2017" s="3" t="str">
        <f t="shared" si="250"/>
        <v>98/11/26</v>
      </c>
      <c r="B2017" s="3" t="str">
        <f t="shared" si="251"/>
        <v>كالاهاي مصرفي</v>
      </c>
      <c r="C2017" s="3" t="str">
        <f t="shared" si="255"/>
        <v>انبار مصرفي ZU1</v>
      </c>
      <c r="D2017" s="3" t="str">
        <f>"0204001777"</f>
        <v>0204001777</v>
      </c>
      <c r="E2017" s="3" t="str">
        <f>"پكينگ آب بندي گرافيت مسلح  16* 16"</f>
        <v>پكينگ آب بندي گرافيت مسلح  16* 16</v>
      </c>
      <c r="F2017" s="3" t="str">
        <f>"کيلوگرم"</f>
        <v>کيلوگرم</v>
      </c>
      <c r="G2017" s="3">
        <v>30</v>
      </c>
      <c r="H2017" s="5">
        <v>49500000</v>
      </c>
    </row>
    <row r="2018" spans="1:8" ht="18.75" x14ac:dyDescent="0.2">
      <c r="A2018" s="3" t="str">
        <f t="shared" si="250"/>
        <v>98/11/26</v>
      </c>
      <c r="B2018" s="3" t="str">
        <f t="shared" si="251"/>
        <v>كالاهاي مصرفي</v>
      </c>
      <c r="C2018" s="3" t="str">
        <f t="shared" si="255"/>
        <v>انبار مصرفي ZU1</v>
      </c>
      <c r="D2018" s="3" t="str">
        <f>"0213000230"</f>
        <v>0213000230</v>
      </c>
      <c r="E2018" s="3" t="str">
        <f>"مهره M40"</f>
        <v>مهره M40</v>
      </c>
      <c r="F2018" s="3" t="str">
        <f>"عدد"</f>
        <v>عدد</v>
      </c>
      <c r="G2018" s="3">
        <v>500</v>
      </c>
      <c r="H2018" s="5">
        <v>49500000</v>
      </c>
    </row>
    <row r="2019" spans="1:8" ht="18.75" x14ac:dyDescent="0.2">
      <c r="A2019" s="3" t="str">
        <f t="shared" si="250"/>
        <v>98/11/26</v>
      </c>
      <c r="B2019" s="3" t="str">
        <f t="shared" si="251"/>
        <v>كالاهاي مصرفي</v>
      </c>
      <c r="C2019" s="3" t="str">
        <f t="shared" si="255"/>
        <v>انبار مصرفي ZU1</v>
      </c>
      <c r="D2019" s="3" t="str">
        <f>"0211001524"</f>
        <v>0211001524</v>
      </c>
      <c r="E2019" s="3" t="str">
        <f>"هلدر نگهدارنده ديسك فدا شونده 1/5 اينچ"</f>
        <v>هلدر نگهدارنده ديسك فدا شونده 1/5 اينچ</v>
      </c>
      <c r="F2019" s="3" t="str">
        <f>"عدد"</f>
        <v>عدد</v>
      </c>
      <c r="G2019" s="3">
        <v>5</v>
      </c>
      <c r="H2019" s="5">
        <v>49800000</v>
      </c>
    </row>
    <row r="2020" spans="1:8" ht="18.75" x14ac:dyDescent="0.2">
      <c r="A2020" s="3" t="str">
        <f t="shared" si="250"/>
        <v>98/11/26</v>
      </c>
      <c r="B2020" s="3" t="str">
        <f t="shared" si="251"/>
        <v>كالاهاي مصرفي</v>
      </c>
      <c r="C2020" s="3" t="str">
        <f t="shared" si="255"/>
        <v>انبار مصرفي ZU1</v>
      </c>
      <c r="D2020" s="3" t="str">
        <f>"0103000106"</f>
        <v>0103000106</v>
      </c>
      <c r="E2020" s="3" t="str">
        <f>"اسيد نيتريك 65 %"</f>
        <v>اسيد نيتريك 65 %</v>
      </c>
      <c r="F2020" s="3" t="str">
        <f>"ليتر"</f>
        <v>ليتر</v>
      </c>
      <c r="G2020" s="3">
        <v>1000</v>
      </c>
      <c r="H2020" s="5">
        <v>50000000</v>
      </c>
    </row>
    <row r="2021" spans="1:8" ht="18.75" x14ac:dyDescent="0.2">
      <c r="A2021" s="3" t="str">
        <f t="shared" si="250"/>
        <v>98/11/26</v>
      </c>
      <c r="B2021" s="3" t="str">
        <f t="shared" si="251"/>
        <v>كالاهاي مصرفي</v>
      </c>
      <c r="C2021" s="3" t="str">
        <f t="shared" si="255"/>
        <v>انبار مصرفي ZU1</v>
      </c>
      <c r="D2021" s="3" t="str">
        <f>"0204000811"</f>
        <v>0204000811</v>
      </c>
      <c r="E2021" s="3" t="str">
        <f>"بيرينگ 22212ex"</f>
        <v>بيرينگ 22212ex</v>
      </c>
      <c r="F2021" s="3" t="str">
        <f>"عدد"</f>
        <v>عدد</v>
      </c>
      <c r="G2021" s="3">
        <v>8</v>
      </c>
      <c r="H2021" s="5">
        <v>50000000</v>
      </c>
    </row>
    <row r="2022" spans="1:8" ht="18.75" x14ac:dyDescent="0.2">
      <c r="A2022" s="3" t="str">
        <f t="shared" si="250"/>
        <v>98/11/26</v>
      </c>
      <c r="B2022" s="3" t="str">
        <f t="shared" si="251"/>
        <v>كالاهاي مصرفي</v>
      </c>
      <c r="C2022" s="3" t="str">
        <f t="shared" si="255"/>
        <v>انبار مصرفي ZU1</v>
      </c>
      <c r="D2022" s="3" t="str">
        <f>"0204001577"</f>
        <v>0204001577</v>
      </c>
      <c r="E2022" s="3" t="str">
        <f>"بيرينگ 22212CD"</f>
        <v>بيرينگ 22212CD</v>
      </c>
      <c r="F2022" s="3" t="str">
        <f>"عدد"</f>
        <v>عدد</v>
      </c>
      <c r="G2022" s="3">
        <v>8</v>
      </c>
      <c r="H2022" s="5">
        <v>50000000</v>
      </c>
    </row>
    <row r="2023" spans="1:8" ht="18.75" x14ac:dyDescent="0.2">
      <c r="A2023" s="3" t="str">
        <f t="shared" si="250"/>
        <v>98/11/26</v>
      </c>
      <c r="B2023" s="3" t="str">
        <f t="shared" si="251"/>
        <v>كالاهاي مصرفي</v>
      </c>
      <c r="C2023" s="3" t="str">
        <f>"انبار مركزي ( عمومي )"</f>
        <v>انبار مركزي ( عمومي )</v>
      </c>
      <c r="D2023" s="3" t="str">
        <f>"0211000770"</f>
        <v>0211000770</v>
      </c>
      <c r="E2023" s="3" t="str">
        <f>"ورق مولتي استايل60 * 120 ضخامت 2 ميل چسب دار"</f>
        <v>ورق مولتي استايل60 * 120 ضخامت 2 ميل چسب دار</v>
      </c>
      <c r="F2023" s="3" t="str">
        <f>"برگ"</f>
        <v>برگ</v>
      </c>
      <c r="G2023" s="3">
        <v>100</v>
      </c>
      <c r="H2023" s="5">
        <v>50000000</v>
      </c>
    </row>
    <row r="2024" spans="1:8" ht="18.75" x14ac:dyDescent="0.2">
      <c r="A2024" s="3" t="str">
        <f t="shared" si="250"/>
        <v>98/11/26</v>
      </c>
      <c r="B2024" s="3" t="str">
        <f t="shared" si="251"/>
        <v>كالاهاي مصرفي</v>
      </c>
      <c r="C2024" s="3" t="str">
        <f t="shared" ref="C2024:C2036" si="256">"انبار مصرفي ZU1"</f>
        <v>انبار مصرفي ZU1</v>
      </c>
      <c r="D2024" s="3" t="str">
        <f>"0213000307"</f>
        <v>0213000307</v>
      </c>
      <c r="E2024" s="3" t="str">
        <f>"پيچ استيل"</f>
        <v>پيچ استيل</v>
      </c>
      <c r="F2024" s="3" t="str">
        <f>"عدد"</f>
        <v>عدد</v>
      </c>
      <c r="G2024" s="3">
        <v>100</v>
      </c>
      <c r="H2024" s="5">
        <v>50000000</v>
      </c>
    </row>
    <row r="2025" spans="1:8" ht="18.75" x14ac:dyDescent="0.2">
      <c r="A2025" s="3" t="str">
        <f t="shared" si="250"/>
        <v>98/11/26</v>
      </c>
      <c r="B2025" s="3" t="str">
        <f t="shared" si="251"/>
        <v>كالاهاي مصرفي</v>
      </c>
      <c r="C2025" s="3" t="str">
        <f t="shared" si="256"/>
        <v>انبار مصرفي ZU1</v>
      </c>
      <c r="D2025" s="3" t="str">
        <f>"0601000054"</f>
        <v>0601000054</v>
      </c>
      <c r="E2025" s="3" t="str">
        <f>"دستكش لاتكس معمولي"</f>
        <v>دستكش لاتكس معمولي</v>
      </c>
      <c r="F2025" s="3" t="str">
        <f>"جفت"</f>
        <v>جفت</v>
      </c>
      <c r="G2025" s="3">
        <v>3500</v>
      </c>
      <c r="H2025" s="5">
        <v>50000000</v>
      </c>
    </row>
    <row r="2026" spans="1:8" ht="18.75" x14ac:dyDescent="0.2">
      <c r="A2026" s="3" t="str">
        <f t="shared" si="250"/>
        <v>98/11/26</v>
      </c>
      <c r="B2026" s="3" t="str">
        <f t="shared" si="251"/>
        <v>كالاهاي مصرفي</v>
      </c>
      <c r="C2026" s="3" t="str">
        <f t="shared" si="256"/>
        <v>انبار مصرفي ZU1</v>
      </c>
      <c r="D2026" s="3" t="str">
        <f>"0204001103"</f>
        <v>0204001103</v>
      </c>
      <c r="E2026" s="3" t="str">
        <f>"واشر لاستيكي غلتك"</f>
        <v>واشر لاستيكي غلتك</v>
      </c>
      <c r="F2026" s="3" t="str">
        <f>"عدد"</f>
        <v>عدد</v>
      </c>
      <c r="G2026" s="3">
        <v>794</v>
      </c>
      <c r="H2026" s="5">
        <v>50022000</v>
      </c>
    </row>
    <row r="2027" spans="1:8" ht="18.75" x14ac:dyDescent="0.2">
      <c r="A2027" s="3" t="str">
        <f t="shared" si="250"/>
        <v>98/11/26</v>
      </c>
      <c r="B2027" s="3" t="str">
        <f t="shared" si="251"/>
        <v>كالاهاي مصرفي</v>
      </c>
      <c r="C2027" s="3" t="str">
        <f t="shared" si="256"/>
        <v>انبار مصرفي ZU1</v>
      </c>
      <c r="D2027" s="3" t="str">
        <f>"0106000196"</f>
        <v>0106000196</v>
      </c>
      <c r="E2027" s="3" t="str">
        <f>"روغن BUSCh VM100"</f>
        <v>روغن BUSCh VM100</v>
      </c>
      <c r="F2027" s="3" t="str">
        <f>"ليتر"</f>
        <v>ليتر</v>
      </c>
      <c r="G2027" s="3">
        <v>120</v>
      </c>
      <c r="H2027" s="5">
        <v>50250000</v>
      </c>
    </row>
    <row r="2028" spans="1:8" ht="18.75" x14ac:dyDescent="0.2">
      <c r="A2028" s="3" t="str">
        <f t="shared" si="250"/>
        <v>98/11/26</v>
      </c>
      <c r="B2028" s="3" t="str">
        <f t="shared" si="251"/>
        <v>كالاهاي مصرفي</v>
      </c>
      <c r="C2028" s="3" t="str">
        <f t="shared" si="256"/>
        <v>انبار مصرفي ZU1</v>
      </c>
      <c r="D2028" s="3" t="str">
        <f>"0106000031"</f>
        <v>0106000031</v>
      </c>
      <c r="E2028" s="3" t="str">
        <f>"روغن Rubinair"</f>
        <v>روغن Rubinair</v>
      </c>
      <c r="F2028" s="3" t="str">
        <f>"ليتر"</f>
        <v>ليتر</v>
      </c>
      <c r="G2028" s="3">
        <v>24</v>
      </c>
      <c r="H2028" s="5">
        <v>50400000</v>
      </c>
    </row>
    <row r="2029" spans="1:8" ht="18.75" x14ac:dyDescent="0.2">
      <c r="A2029" s="3" t="str">
        <f t="shared" si="250"/>
        <v>98/11/26</v>
      </c>
      <c r="B2029" s="3" t="str">
        <f t="shared" si="251"/>
        <v>كالاهاي مصرفي</v>
      </c>
      <c r="C2029" s="3" t="str">
        <f t="shared" si="256"/>
        <v>انبار مصرفي ZU1</v>
      </c>
      <c r="D2029" s="3" t="str">
        <f>"0204000407"</f>
        <v>0204000407</v>
      </c>
      <c r="E2029" s="3" t="str">
        <f>"بيرينگ 2Z/C3-6215"</f>
        <v>بيرينگ 2Z/C3-6215</v>
      </c>
      <c r="F2029" s="3" t="str">
        <f>"عدد"</f>
        <v>عدد</v>
      </c>
      <c r="G2029" s="3">
        <v>30</v>
      </c>
      <c r="H2029" s="5">
        <v>50450000</v>
      </c>
    </row>
    <row r="2030" spans="1:8" ht="18.75" x14ac:dyDescent="0.2">
      <c r="A2030" s="3" t="str">
        <f t="shared" si="250"/>
        <v>98/11/26</v>
      </c>
      <c r="B2030" s="3" t="str">
        <f t="shared" si="251"/>
        <v>كالاهاي مصرفي</v>
      </c>
      <c r="C2030" s="3" t="str">
        <f t="shared" si="256"/>
        <v>انبار مصرفي ZU1</v>
      </c>
      <c r="D2030" s="3" t="str">
        <f>"0204000483"</f>
        <v>0204000483</v>
      </c>
      <c r="E2030" s="3" t="str">
        <f>"صفحات لاستيك آببندي مقاوم در مقابل مواد نفتي ضخامت 1"</f>
        <v>صفحات لاستيك آببندي مقاوم در مقابل مواد نفتي ضخامت 1</v>
      </c>
      <c r="F2030" s="3" t="str">
        <f>"کيلوگرم"</f>
        <v>کيلوگرم</v>
      </c>
      <c r="G2030" s="3">
        <v>78.3</v>
      </c>
      <c r="H2030" s="5">
        <v>51225000</v>
      </c>
    </row>
    <row r="2031" spans="1:8" ht="18.75" x14ac:dyDescent="0.2">
      <c r="A2031" s="3" t="str">
        <f t="shared" si="250"/>
        <v>98/11/26</v>
      </c>
      <c r="B2031" s="3" t="str">
        <f t="shared" si="251"/>
        <v>كالاهاي مصرفي</v>
      </c>
      <c r="C2031" s="3" t="str">
        <f t="shared" si="256"/>
        <v>انبار مصرفي ZU1</v>
      </c>
      <c r="D2031" s="3" t="str">
        <f>"0106000018"</f>
        <v>0106000018</v>
      </c>
      <c r="E2031" s="3" t="str">
        <f>"روغن shell tellus S2-M32 بشکه 209 ليتري"</f>
        <v>روغن shell tellus S2-M32 بشکه 209 ليتري</v>
      </c>
      <c r="F2031" s="3" t="str">
        <f>"بشكه"</f>
        <v>بشكه</v>
      </c>
      <c r="G2031" s="3">
        <v>4</v>
      </c>
      <c r="H2031" s="5">
        <v>51331000</v>
      </c>
    </row>
    <row r="2032" spans="1:8" ht="18.75" x14ac:dyDescent="0.2">
      <c r="A2032" s="3" t="str">
        <f t="shared" si="250"/>
        <v>98/11/26</v>
      </c>
      <c r="B2032" s="3" t="str">
        <f t="shared" si="251"/>
        <v>كالاهاي مصرفي</v>
      </c>
      <c r="C2032" s="3" t="str">
        <f t="shared" si="256"/>
        <v>انبار مصرفي ZU1</v>
      </c>
      <c r="D2032" s="3" t="str">
        <f>"0602000060"</f>
        <v>0602000060</v>
      </c>
      <c r="E2032" s="3" t="str">
        <f>"انكر بولت M12-HSL-3/-G"</f>
        <v>انكر بولت M12-HSL-3/-G</v>
      </c>
      <c r="F2032" s="3" t="str">
        <f>"عدد"</f>
        <v>عدد</v>
      </c>
      <c r="G2032" s="3">
        <v>126</v>
      </c>
      <c r="H2032" s="5">
        <v>51660000</v>
      </c>
    </row>
    <row r="2033" spans="1:8" ht="18.75" x14ac:dyDescent="0.2">
      <c r="A2033" s="3" t="str">
        <f t="shared" si="250"/>
        <v>98/11/26</v>
      </c>
      <c r="B2033" s="3" t="str">
        <f t="shared" si="251"/>
        <v>كالاهاي مصرفي</v>
      </c>
      <c r="C2033" s="3" t="str">
        <f t="shared" si="256"/>
        <v>انبار مصرفي ZU1</v>
      </c>
      <c r="D2033" s="3" t="str">
        <f>"0106000154"</f>
        <v>0106000154</v>
      </c>
      <c r="E2033" s="3" t="str">
        <f>"روغن Atlas Copco Roto- Injectfluid سطل 20 ليتري"</f>
        <v>روغن Atlas Copco Roto- Injectfluid سطل 20 ليتري</v>
      </c>
      <c r="F2033" s="3" t="str">
        <f>"گالن"</f>
        <v>گالن</v>
      </c>
      <c r="G2033" s="3">
        <v>8</v>
      </c>
      <c r="H2033" s="5">
        <v>52440817</v>
      </c>
    </row>
    <row r="2034" spans="1:8" ht="18.75" x14ac:dyDescent="0.2">
      <c r="A2034" s="3" t="str">
        <f t="shared" si="250"/>
        <v>98/11/26</v>
      </c>
      <c r="B2034" s="3" t="str">
        <f t="shared" si="251"/>
        <v>كالاهاي مصرفي</v>
      </c>
      <c r="C2034" s="3" t="str">
        <f t="shared" si="256"/>
        <v>انبار مصرفي ZU1</v>
      </c>
      <c r="D2034" s="3" t="str">
        <f>"0204000786"</f>
        <v>0204000786</v>
      </c>
      <c r="E2034" s="3" t="str">
        <f>"کوپلينگ ولو VP13S002"</f>
        <v>کوپلينگ ولو VP13S002</v>
      </c>
      <c r="F2034" s="3" t="str">
        <f>"عدد"</f>
        <v>عدد</v>
      </c>
      <c r="G2034" s="3">
        <v>1</v>
      </c>
      <c r="H2034" s="5">
        <v>52500000</v>
      </c>
    </row>
    <row r="2035" spans="1:8" ht="18.75" x14ac:dyDescent="0.2">
      <c r="A2035" s="3" t="str">
        <f t="shared" si="250"/>
        <v>98/11/26</v>
      </c>
      <c r="B2035" s="3" t="str">
        <f t="shared" si="251"/>
        <v>كالاهاي مصرفي</v>
      </c>
      <c r="C2035" s="3" t="str">
        <f t="shared" si="256"/>
        <v>انبار مصرفي ZU1</v>
      </c>
      <c r="D2035" s="3" t="str">
        <f>"0204001196"</f>
        <v>0204001196</v>
      </c>
      <c r="E2035" s="3" t="str">
        <f>"بيرينگ 7220 BECBM"</f>
        <v>بيرينگ 7220 BECBM</v>
      </c>
      <c r="F2035" s="3" t="str">
        <f>"عدد"</f>
        <v>عدد</v>
      </c>
      <c r="G2035" s="3">
        <v>13</v>
      </c>
      <c r="H2035" s="5">
        <v>52760000</v>
      </c>
    </row>
    <row r="2036" spans="1:8" ht="18.75" x14ac:dyDescent="0.2">
      <c r="A2036" s="3" t="str">
        <f t="shared" si="250"/>
        <v>98/11/26</v>
      </c>
      <c r="B2036" s="3" t="str">
        <f t="shared" si="251"/>
        <v>كالاهاي مصرفي</v>
      </c>
      <c r="C2036" s="3" t="str">
        <f t="shared" si="256"/>
        <v>انبار مصرفي ZU1</v>
      </c>
      <c r="D2036" s="3" t="str">
        <f>"0204001775"</f>
        <v>0204001775</v>
      </c>
      <c r="E2036" s="3" t="str">
        <f>"پكينگ آب بندي گرافيت مسلح  12* 12"</f>
        <v>پكينگ آب بندي گرافيت مسلح  12* 12</v>
      </c>
      <c r="F2036" s="3" t="str">
        <f>"کيلوگرم"</f>
        <v>کيلوگرم</v>
      </c>
      <c r="G2036" s="3">
        <v>32</v>
      </c>
      <c r="H2036" s="5">
        <v>52800000</v>
      </c>
    </row>
    <row r="2037" spans="1:8" ht="18.75" x14ac:dyDescent="0.2">
      <c r="A2037" s="3" t="str">
        <f t="shared" si="250"/>
        <v>98/11/26</v>
      </c>
      <c r="B2037" s="3" t="str">
        <f t="shared" si="251"/>
        <v>كالاهاي مصرفي</v>
      </c>
      <c r="C2037" s="3" t="str">
        <f>"انبار مركزي ( عمومي )"</f>
        <v>انبار مركزي ( عمومي )</v>
      </c>
      <c r="D2037" s="3" t="str">
        <f>"0906000393"</f>
        <v>0906000393</v>
      </c>
      <c r="E2037" s="3" t="str">
        <f>"هدست A4TECH HS-60"</f>
        <v>هدست A4TECH HS-60</v>
      </c>
      <c r="F2037" s="3" t="str">
        <f>"عدد"</f>
        <v>عدد</v>
      </c>
      <c r="G2037" s="3">
        <v>22</v>
      </c>
      <c r="H2037" s="5">
        <v>53712500</v>
      </c>
    </row>
    <row r="2038" spans="1:8" ht="18.75" x14ac:dyDescent="0.2">
      <c r="A2038" s="3" t="str">
        <f t="shared" si="250"/>
        <v>98/11/26</v>
      </c>
      <c r="B2038" s="3" t="str">
        <f t="shared" si="251"/>
        <v>كالاهاي مصرفي</v>
      </c>
      <c r="C2038" s="3" t="str">
        <f t="shared" ref="C2038:C2053" si="257">"انبار مصرفي ZU1"</f>
        <v>انبار مصرفي ZU1</v>
      </c>
      <c r="D2038" s="3" t="str">
        <f>"0204000676"</f>
        <v>0204000676</v>
      </c>
      <c r="E2038" s="3" t="str">
        <f>"واشر اورينگ رزيني NBR 837( -5) X 6"</f>
        <v>واشر اورينگ رزيني NBR 837( -5) X 6</v>
      </c>
      <c r="F2038" s="3" t="str">
        <f>"عدد"</f>
        <v>عدد</v>
      </c>
      <c r="G2038" s="3">
        <v>50</v>
      </c>
      <c r="H2038" s="5">
        <v>54000000</v>
      </c>
    </row>
    <row r="2039" spans="1:8" ht="18.75" x14ac:dyDescent="0.2">
      <c r="A2039" s="3" t="str">
        <f t="shared" si="250"/>
        <v>98/11/26</v>
      </c>
      <c r="B2039" s="3" t="str">
        <f t="shared" si="251"/>
        <v>كالاهاي مصرفي</v>
      </c>
      <c r="C2039" s="3" t="str">
        <f t="shared" si="257"/>
        <v>انبار مصرفي ZU1</v>
      </c>
      <c r="D2039" s="3" t="str">
        <f>"0204002245"</f>
        <v>0204002245</v>
      </c>
      <c r="E2039" s="3" t="str">
        <f>"بيرينگ 7224 BDF"</f>
        <v>بيرينگ 7224 BDF</v>
      </c>
      <c r="F2039" s="3" t="str">
        <f>"عدد"</f>
        <v>عدد</v>
      </c>
      <c r="G2039" s="3">
        <v>1</v>
      </c>
      <c r="H2039" s="5">
        <v>54000000</v>
      </c>
    </row>
    <row r="2040" spans="1:8" ht="18.75" x14ac:dyDescent="0.2">
      <c r="A2040" s="3" t="str">
        <f t="shared" si="250"/>
        <v>98/11/26</v>
      </c>
      <c r="B2040" s="3" t="str">
        <f t="shared" si="251"/>
        <v>كالاهاي مصرفي</v>
      </c>
      <c r="C2040" s="3" t="str">
        <f t="shared" si="257"/>
        <v>انبار مصرفي ZU1</v>
      </c>
      <c r="D2040" s="3" t="str">
        <f>"0209000415"</f>
        <v>0209000415</v>
      </c>
      <c r="E2040" s="3" t="str">
        <f>"اکسپنشن جوينت 20 اينچ اتصال فلنجي جنس EPDM (لرزه گير لاستيكي بدون مهار)"</f>
        <v>اکسپنشن جوينت 20 اينچ اتصال فلنجي جنس EPDM (لرزه گير لاستيكي بدون مهار)</v>
      </c>
      <c r="F2040" s="3" t="str">
        <f>"عدد"</f>
        <v>عدد</v>
      </c>
      <c r="G2040" s="3">
        <v>1</v>
      </c>
      <c r="H2040" s="5">
        <v>54000000</v>
      </c>
    </row>
    <row r="2041" spans="1:8" ht="18.75" x14ac:dyDescent="0.2">
      <c r="A2041" s="3" t="str">
        <f t="shared" si="250"/>
        <v>98/11/26</v>
      </c>
      <c r="B2041" s="3" t="str">
        <f t="shared" si="251"/>
        <v>كالاهاي مصرفي</v>
      </c>
      <c r="C2041" s="3" t="str">
        <f t="shared" si="257"/>
        <v>انبار مصرفي ZU1</v>
      </c>
      <c r="D2041" s="3" t="str">
        <f>"0204000810"</f>
        <v>0204000810</v>
      </c>
      <c r="E2041" s="3" t="str">
        <f>"بيرينگ7224 BECBM"</f>
        <v>بيرينگ7224 BECBM</v>
      </c>
      <c r="F2041" s="3" t="str">
        <f>"عدد"</f>
        <v>عدد</v>
      </c>
      <c r="G2041" s="3">
        <v>8</v>
      </c>
      <c r="H2041" s="5">
        <v>54400000</v>
      </c>
    </row>
    <row r="2042" spans="1:8" ht="18.75" x14ac:dyDescent="0.2">
      <c r="A2042" s="3" t="str">
        <f t="shared" si="250"/>
        <v>98/11/26</v>
      </c>
      <c r="B2042" s="3" t="str">
        <f t="shared" si="251"/>
        <v>كالاهاي مصرفي</v>
      </c>
      <c r="C2042" s="3" t="str">
        <f t="shared" si="257"/>
        <v>انبار مصرفي ZU1</v>
      </c>
      <c r="D2042" s="3" t="str">
        <f>"0105000131"</f>
        <v>0105000131</v>
      </c>
      <c r="E2042" s="3" t="str">
        <f>"چسب اپوکسي دوجزيي مقاوم به آب دريا500گرمي (Devcon )"</f>
        <v>چسب اپوکسي دوجزيي مقاوم به آب دريا500گرمي (Devcon )</v>
      </c>
      <c r="F2042" s="3" t="str">
        <f>"تيوپ"</f>
        <v>تيوپ</v>
      </c>
      <c r="G2042" s="3">
        <v>5</v>
      </c>
      <c r="H2042" s="5">
        <v>54750000</v>
      </c>
    </row>
    <row r="2043" spans="1:8" ht="18.75" x14ac:dyDescent="0.2">
      <c r="A2043" s="3" t="str">
        <f t="shared" si="250"/>
        <v>98/11/26</v>
      </c>
      <c r="B2043" s="3" t="str">
        <f t="shared" si="251"/>
        <v>كالاهاي مصرفي</v>
      </c>
      <c r="C2043" s="3" t="str">
        <f t="shared" si="257"/>
        <v>انبار مصرفي ZU1</v>
      </c>
      <c r="D2043" s="3" t="str">
        <f>"0204000462"</f>
        <v>0204000462</v>
      </c>
      <c r="E2043" s="3" t="str">
        <f>"گسكت مقاوم به اسيد و روغن ضخامت 2 FRENZELIT"</f>
        <v>گسكت مقاوم به اسيد و روغن ضخامت 2 FRENZELIT</v>
      </c>
      <c r="F2043" s="3" t="str">
        <f>"متر مربع"</f>
        <v>متر مربع</v>
      </c>
      <c r="G2043" s="3">
        <v>15.25</v>
      </c>
      <c r="H2043" s="5">
        <v>54993141</v>
      </c>
    </row>
    <row r="2044" spans="1:8" ht="18.75" x14ac:dyDescent="0.2">
      <c r="A2044" s="3" t="str">
        <f t="shared" si="250"/>
        <v>98/11/26</v>
      </c>
      <c r="B2044" s="3" t="str">
        <f t="shared" si="251"/>
        <v>كالاهاي مصرفي</v>
      </c>
      <c r="C2044" s="3" t="str">
        <f t="shared" si="257"/>
        <v>انبار مصرفي ZU1</v>
      </c>
      <c r="D2044" s="3" t="str">
        <f>"0204002211"</f>
        <v>0204002211</v>
      </c>
      <c r="E2044" s="3" t="str">
        <f>"بيرينگ EM/7219"</f>
        <v>بيرينگ EM/7219</v>
      </c>
      <c r="F2044" s="3" t="str">
        <f>"عدد"</f>
        <v>عدد</v>
      </c>
      <c r="G2044" s="3">
        <v>2</v>
      </c>
      <c r="H2044" s="5">
        <v>55200000</v>
      </c>
    </row>
    <row r="2045" spans="1:8" ht="18.75" x14ac:dyDescent="0.2">
      <c r="A2045" s="3" t="str">
        <f t="shared" si="250"/>
        <v>98/11/26</v>
      </c>
      <c r="B2045" s="3" t="str">
        <f t="shared" si="251"/>
        <v>كالاهاي مصرفي</v>
      </c>
      <c r="C2045" s="3" t="str">
        <f t="shared" si="257"/>
        <v>انبار مصرفي ZU1</v>
      </c>
      <c r="D2045" s="3" t="str">
        <f>"0215000200"</f>
        <v>0215000200</v>
      </c>
      <c r="E2045" s="3" t="str">
        <f>"فيلتر روغن بزرگ دستگاه تصفيه روغن پرتابل"</f>
        <v>فيلتر روغن بزرگ دستگاه تصفيه روغن پرتابل</v>
      </c>
      <c r="F2045" s="3" t="str">
        <f>"عدد"</f>
        <v>عدد</v>
      </c>
      <c r="G2045" s="3">
        <v>4</v>
      </c>
      <c r="H2045" s="5">
        <v>55200000</v>
      </c>
    </row>
    <row r="2046" spans="1:8" ht="18.75" x14ac:dyDescent="0.2">
      <c r="A2046" s="3" t="str">
        <f t="shared" si="250"/>
        <v>98/11/26</v>
      </c>
      <c r="B2046" s="3" t="str">
        <f t="shared" si="251"/>
        <v>كالاهاي مصرفي</v>
      </c>
      <c r="C2046" s="3" t="str">
        <f t="shared" si="257"/>
        <v>انبار مصرفي ZU1</v>
      </c>
      <c r="D2046" s="3" t="str">
        <f>"0214000410"</f>
        <v>0214000410</v>
      </c>
      <c r="E2046" s="3" t="s">
        <v>9</v>
      </c>
      <c r="F2046" s="3" t="str">
        <f>"کيلوگرم"</f>
        <v>کيلوگرم</v>
      </c>
      <c r="G2046" s="3">
        <v>30</v>
      </c>
      <c r="H2046" s="5">
        <v>55500000</v>
      </c>
    </row>
    <row r="2047" spans="1:8" ht="18.75" x14ac:dyDescent="0.2">
      <c r="A2047" s="3" t="str">
        <f t="shared" si="250"/>
        <v>98/11/26</v>
      </c>
      <c r="B2047" s="3" t="str">
        <f t="shared" si="251"/>
        <v>كالاهاي مصرفي</v>
      </c>
      <c r="C2047" s="3" t="str">
        <f t="shared" si="257"/>
        <v>انبار مصرفي ZU1</v>
      </c>
      <c r="D2047" s="3" t="str">
        <f>"0204002428"</f>
        <v>0204002428</v>
      </c>
      <c r="E2047" s="3" t="str">
        <f>"سيل رينگ گرافيتي RQ60,70D001 SGHL"</f>
        <v>سيل رينگ گرافيتي RQ60,70D001 SGHL</v>
      </c>
      <c r="F2047" s="3" t="str">
        <f>"عدد"</f>
        <v>عدد</v>
      </c>
      <c r="G2047" s="3">
        <v>5</v>
      </c>
      <c r="H2047" s="5">
        <v>55850000</v>
      </c>
    </row>
    <row r="2048" spans="1:8" ht="18.75" x14ac:dyDescent="0.2">
      <c r="A2048" s="3" t="str">
        <f t="shared" si="250"/>
        <v>98/11/26</v>
      </c>
      <c r="B2048" s="3" t="str">
        <f t="shared" si="251"/>
        <v>كالاهاي مصرفي</v>
      </c>
      <c r="C2048" s="3" t="str">
        <f t="shared" si="257"/>
        <v>انبار مصرفي ZU1</v>
      </c>
      <c r="D2048" s="3" t="str">
        <f>"0204000402"</f>
        <v>0204000402</v>
      </c>
      <c r="E2048" s="3" t="str">
        <f>"بيرينگ 2Z/C3-6317"</f>
        <v>بيرينگ 2Z/C3-6317</v>
      </c>
      <c r="F2048" s="3" t="str">
        <f>"عدد"</f>
        <v>عدد</v>
      </c>
      <c r="G2048" s="3">
        <v>11</v>
      </c>
      <c r="H2048" s="5">
        <v>55943684</v>
      </c>
    </row>
    <row r="2049" spans="1:8" ht="18.75" x14ac:dyDescent="0.2">
      <c r="A2049" s="3" t="str">
        <f t="shared" si="250"/>
        <v>98/11/26</v>
      </c>
      <c r="B2049" s="3" t="str">
        <f t="shared" si="251"/>
        <v>كالاهاي مصرفي</v>
      </c>
      <c r="C2049" s="3" t="str">
        <f t="shared" si="257"/>
        <v>انبار مصرفي ZU1</v>
      </c>
      <c r="D2049" s="3" t="str">
        <f>"0204001406"</f>
        <v>0204001406</v>
      </c>
      <c r="E2049" s="3" t="str">
        <f>"واشر رزيني ضخامت 5 ميلي متر"</f>
        <v>واشر رزيني ضخامت 5 ميلي متر</v>
      </c>
      <c r="F2049" s="3" t="str">
        <f>"عدد"</f>
        <v>عدد</v>
      </c>
      <c r="G2049" s="3">
        <v>2000</v>
      </c>
      <c r="H2049" s="5">
        <v>56000000</v>
      </c>
    </row>
    <row r="2050" spans="1:8" ht="18.75" x14ac:dyDescent="0.2">
      <c r="A2050" s="3" t="str">
        <f t="shared" ref="A2050:A2113" si="258">"98/11/26"</f>
        <v>98/11/26</v>
      </c>
      <c r="B2050" s="3" t="str">
        <f t="shared" ref="B2050:B2113" si="259">"كالاهاي مصرفي"</f>
        <v>كالاهاي مصرفي</v>
      </c>
      <c r="C2050" s="3" t="str">
        <f t="shared" si="257"/>
        <v>انبار مصرفي ZU1</v>
      </c>
      <c r="D2050" s="3" t="str">
        <f>"0213000272"</f>
        <v>0213000272</v>
      </c>
      <c r="E2050" s="3" t="str">
        <f>"سمباده رولي P1000"</f>
        <v>سمباده رولي P1000</v>
      </c>
      <c r="F2050" s="3" t="str">
        <f>"رول"</f>
        <v>رول</v>
      </c>
      <c r="G2050" s="3">
        <v>10</v>
      </c>
      <c r="H2050" s="5">
        <v>56000000</v>
      </c>
    </row>
    <row r="2051" spans="1:8" ht="18.75" x14ac:dyDescent="0.2">
      <c r="A2051" s="3" t="str">
        <f t="shared" si="258"/>
        <v>98/11/26</v>
      </c>
      <c r="B2051" s="3" t="str">
        <f t="shared" si="259"/>
        <v>كالاهاي مصرفي</v>
      </c>
      <c r="C2051" s="3" t="str">
        <f t="shared" si="257"/>
        <v>انبار مصرفي ZU1</v>
      </c>
      <c r="D2051" s="3" t="str">
        <f>"0204001958"</f>
        <v>0204001958</v>
      </c>
      <c r="E2051" s="3" t="str">
        <f>"Carbon ring of  SULZER Compressor"</f>
        <v>Carbon ring of  SULZER Compressor</v>
      </c>
      <c r="F2051" s="3" t="str">
        <f>"عدد"</f>
        <v>عدد</v>
      </c>
      <c r="G2051" s="3">
        <v>3</v>
      </c>
      <c r="H2051" s="5">
        <v>56250000</v>
      </c>
    </row>
    <row r="2052" spans="1:8" ht="18.75" x14ac:dyDescent="0.2">
      <c r="A2052" s="3" t="str">
        <f t="shared" si="258"/>
        <v>98/11/26</v>
      </c>
      <c r="B2052" s="3" t="str">
        <f t="shared" si="259"/>
        <v>كالاهاي مصرفي</v>
      </c>
      <c r="C2052" s="3" t="str">
        <f t="shared" si="257"/>
        <v>انبار مصرفي ZU1</v>
      </c>
      <c r="D2052" s="3" t="str">
        <f>"0204000466"</f>
        <v>0204000466</v>
      </c>
      <c r="E2052" s="3" t="str">
        <f>"گسكت گرافيتي مقاوم به اسيد و روغن 0.7 ضخامت"</f>
        <v>گسكت گرافيتي مقاوم به اسيد و روغن 0.7 ضخامت</v>
      </c>
      <c r="F2052" s="3" t="str">
        <f>"متر مربع"</f>
        <v>متر مربع</v>
      </c>
      <c r="G2052" s="3">
        <v>30.75</v>
      </c>
      <c r="H2052" s="5">
        <v>56887500</v>
      </c>
    </row>
    <row r="2053" spans="1:8" ht="18.75" x14ac:dyDescent="0.2">
      <c r="A2053" s="3" t="str">
        <f t="shared" si="258"/>
        <v>98/11/26</v>
      </c>
      <c r="B2053" s="3" t="str">
        <f t="shared" si="259"/>
        <v>كالاهاي مصرفي</v>
      </c>
      <c r="C2053" s="3" t="str">
        <f t="shared" si="257"/>
        <v>انبار مصرفي ZU1</v>
      </c>
      <c r="D2053" s="3" t="str">
        <f>"0204000474"</f>
        <v>0204000474</v>
      </c>
      <c r="E2053" s="3" t="str">
        <f>"گسكت مقاوم به بنزين و روغن ضخامت 2"</f>
        <v>گسكت مقاوم به بنزين و روغن ضخامت 2</v>
      </c>
      <c r="F2053" s="3" t="str">
        <f>"متر مربع"</f>
        <v>متر مربع</v>
      </c>
      <c r="G2053" s="3">
        <v>24</v>
      </c>
      <c r="H2053" s="5">
        <v>57039999</v>
      </c>
    </row>
    <row r="2054" spans="1:8" ht="18.75" x14ac:dyDescent="0.2">
      <c r="A2054" s="3" t="str">
        <f t="shared" si="258"/>
        <v>98/11/26</v>
      </c>
      <c r="B2054" s="3" t="str">
        <f t="shared" si="259"/>
        <v>كالاهاي مصرفي</v>
      </c>
      <c r="C2054" s="3" t="str">
        <f>"انبار مركزي ( عمومي )"</f>
        <v>انبار مركزي ( عمومي )</v>
      </c>
      <c r="D2054" s="3" t="str">
        <f>"0211000975"</f>
        <v>0211000975</v>
      </c>
      <c r="E2054" s="3" t="str">
        <f>"توپي قفل 5 سانتي"</f>
        <v>توپي قفل 5 سانتي</v>
      </c>
      <c r="F2054" s="3" t="str">
        <f>"عدد"</f>
        <v>عدد</v>
      </c>
      <c r="G2054" s="3">
        <v>321</v>
      </c>
      <c r="H2054" s="5">
        <v>57295354</v>
      </c>
    </row>
    <row r="2055" spans="1:8" ht="18.75" x14ac:dyDescent="0.2">
      <c r="A2055" s="3" t="str">
        <f t="shared" si="258"/>
        <v>98/11/26</v>
      </c>
      <c r="B2055" s="3" t="str">
        <f t="shared" si="259"/>
        <v>كالاهاي مصرفي</v>
      </c>
      <c r="C2055" s="3" t="str">
        <f t="shared" ref="C2055:C2065" si="260">"انبار مصرفي ZU1"</f>
        <v>انبار مصرفي ZU1</v>
      </c>
      <c r="D2055" s="3" t="str">
        <f>"0204000749"</f>
        <v>0204000749</v>
      </c>
      <c r="E2055" s="3" t="str">
        <f>"واشر اورينگ رزيني 6*(5-)900"</f>
        <v>واشر اورينگ رزيني 6*(5-)900</v>
      </c>
      <c r="F2055" s="3" t="str">
        <f>"عدد"</f>
        <v>عدد</v>
      </c>
      <c r="G2055" s="3">
        <v>50</v>
      </c>
      <c r="H2055" s="5">
        <v>57500000</v>
      </c>
    </row>
    <row r="2056" spans="1:8" ht="18.75" x14ac:dyDescent="0.2">
      <c r="A2056" s="3" t="str">
        <f t="shared" si="258"/>
        <v>98/11/26</v>
      </c>
      <c r="B2056" s="3" t="str">
        <f t="shared" si="259"/>
        <v>كالاهاي مصرفي</v>
      </c>
      <c r="C2056" s="3" t="str">
        <f t="shared" si="260"/>
        <v>انبار مصرفي ZU1</v>
      </c>
      <c r="D2056" s="3" t="str">
        <f>"0204002338"</f>
        <v>0204002338</v>
      </c>
      <c r="E2056" s="3" t="str">
        <f>"اورينگ 163*3 Neoperene"</f>
        <v>اورينگ 163*3 Neoperene</v>
      </c>
      <c r="F2056" s="3" t="str">
        <f>"عدد"</f>
        <v>عدد</v>
      </c>
      <c r="G2056" s="3">
        <v>8</v>
      </c>
      <c r="H2056" s="5">
        <v>57600000</v>
      </c>
    </row>
    <row r="2057" spans="1:8" ht="18.75" x14ac:dyDescent="0.2">
      <c r="A2057" s="3" t="str">
        <f t="shared" si="258"/>
        <v>98/11/26</v>
      </c>
      <c r="B2057" s="3" t="str">
        <f t="shared" si="259"/>
        <v>كالاهاي مصرفي</v>
      </c>
      <c r="C2057" s="3" t="str">
        <f t="shared" si="260"/>
        <v>انبار مصرفي ZU1</v>
      </c>
      <c r="D2057" s="3" t="str">
        <f>"0601000030"</f>
        <v>0601000030</v>
      </c>
      <c r="E2057" s="3" t="str">
        <f>"گوشي صداگير اسفنجي (داخل گوش )"</f>
        <v>گوشي صداگير اسفنجي (داخل گوش )</v>
      </c>
      <c r="F2057" s="3" t="str">
        <f>"عدد"</f>
        <v>عدد</v>
      </c>
      <c r="G2057" s="3">
        <v>7308</v>
      </c>
      <c r="H2057" s="5">
        <v>57733200</v>
      </c>
    </row>
    <row r="2058" spans="1:8" ht="18.75" x14ac:dyDescent="0.2">
      <c r="A2058" s="3" t="str">
        <f t="shared" si="258"/>
        <v>98/11/26</v>
      </c>
      <c r="B2058" s="3" t="str">
        <f t="shared" si="259"/>
        <v>كالاهاي مصرفي</v>
      </c>
      <c r="C2058" s="3" t="str">
        <f t="shared" si="260"/>
        <v>انبار مصرفي ZU1</v>
      </c>
      <c r="D2058" s="3" t="str">
        <f>"0204001780"</f>
        <v>0204001780</v>
      </c>
      <c r="E2058" s="3" t="str">
        <f>"پكينگ آب بندي گرافيت مسلح  22* 22"</f>
        <v>پكينگ آب بندي گرافيت مسلح  22* 22</v>
      </c>
      <c r="F2058" s="3" t="str">
        <f>"کيلوگرم"</f>
        <v>کيلوگرم</v>
      </c>
      <c r="G2058" s="3">
        <v>50</v>
      </c>
      <c r="H2058" s="5">
        <v>57750000</v>
      </c>
    </row>
    <row r="2059" spans="1:8" ht="18.75" x14ac:dyDescent="0.2">
      <c r="A2059" s="3" t="str">
        <f t="shared" si="258"/>
        <v>98/11/26</v>
      </c>
      <c r="B2059" s="3" t="str">
        <f t="shared" si="259"/>
        <v>كالاهاي مصرفي</v>
      </c>
      <c r="C2059" s="3" t="str">
        <f t="shared" si="260"/>
        <v>انبار مصرفي ZU1</v>
      </c>
      <c r="D2059" s="3" t="str">
        <f>"0303000261"</f>
        <v>0303000261</v>
      </c>
      <c r="E2059" s="3" t="str">
        <f>"مانومتر(25-0) bar"</f>
        <v>مانومتر(25-0) bar</v>
      </c>
      <c r="F2059" s="3" t="str">
        <f>"دستگاه"</f>
        <v>دستگاه</v>
      </c>
      <c r="G2059" s="3">
        <v>11</v>
      </c>
      <c r="H2059" s="5">
        <v>57785714</v>
      </c>
    </row>
    <row r="2060" spans="1:8" ht="18.75" x14ac:dyDescent="0.2">
      <c r="A2060" s="3" t="str">
        <f t="shared" si="258"/>
        <v>98/11/26</v>
      </c>
      <c r="B2060" s="3" t="str">
        <f t="shared" si="259"/>
        <v>كالاهاي مصرفي</v>
      </c>
      <c r="C2060" s="3" t="str">
        <f t="shared" si="260"/>
        <v>انبار مصرفي ZU1</v>
      </c>
      <c r="D2060" s="3" t="str">
        <f>"0204002209"</f>
        <v>0204002209</v>
      </c>
      <c r="E2060" s="3" t="str">
        <f>"بيرينگ NU219-ECM"</f>
        <v>بيرينگ NU219-ECM</v>
      </c>
      <c r="F2060" s="3" t="str">
        <f t="shared" ref="F2060:F2065" si="261">"عدد"</f>
        <v>عدد</v>
      </c>
      <c r="G2060" s="3">
        <v>2</v>
      </c>
      <c r="H2060" s="5">
        <v>58000000</v>
      </c>
    </row>
    <row r="2061" spans="1:8" ht="18.75" x14ac:dyDescent="0.2">
      <c r="A2061" s="3" t="str">
        <f t="shared" si="258"/>
        <v>98/11/26</v>
      </c>
      <c r="B2061" s="3" t="str">
        <f t="shared" si="259"/>
        <v>كالاهاي مصرفي</v>
      </c>
      <c r="C2061" s="3" t="str">
        <f t="shared" si="260"/>
        <v>انبار مصرفي ZU1</v>
      </c>
      <c r="D2061" s="3" t="str">
        <f>"0304000043"</f>
        <v>0304000043</v>
      </c>
      <c r="E2061" s="3" t="str">
        <f>"شير پروانه اي 3 اينچ"</f>
        <v>شير پروانه اي 3 اينچ</v>
      </c>
      <c r="F2061" s="3" t="str">
        <f t="shared" si="261"/>
        <v>عدد</v>
      </c>
      <c r="G2061" s="3">
        <v>2</v>
      </c>
      <c r="H2061" s="5">
        <v>58000000</v>
      </c>
    </row>
    <row r="2062" spans="1:8" ht="18.75" x14ac:dyDescent="0.2">
      <c r="A2062" s="3" t="str">
        <f t="shared" si="258"/>
        <v>98/11/26</v>
      </c>
      <c r="B2062" s="3" t="str">
        <f t="shared" si="259"/>
        <v>كالاهاي مصرفي</v>
      </c>
      <c r="C2062" s="3" t="str">
        <f t="shared" si="260"/>
        <v>انبار مصرفي ZU1</v>
      </c>
      <c r="D2062" s="3" t="str">
        <f>"0204000533"</f>
        <v>0204000533</v>
      </c>
      <c r="E2062" s="3" t="str">
        <f>"بيرينگ NU228- C3"</f>
        <v>بيرينگ NU228- C3</v>
      </c>
      <c r="F2062" s="3" t="str">
        <f t="shared" si="261"/>
        <v>عدد</v>
      </c>
      <c r="G2062" s="3">
        <v>1</v>
      </c>
      <c r="H2062" s="5">
        <v>59000000</v>
      </c>
    </row>
    <row r="2063" spans="1:8" ht="18.75" x14ac:dyDescent="0.2">
      <c r="A2063" s="3" t="str">
        <f t="shared" si="258"/>
        <v>98/11/26</v>
      </c>
      <c r="B2063" s="3" t="str">
        <f t="shared" si="259"/>
        <v>كالاهاي مصرفي</v>
      </c>
      <c r="C2063" s="3" t="str">
        <f t="shared" si="260"/>
        <v>انبار مصرفي ZU1</v>
      </c>
      <c r="D2063" s="3" t="str">
        <f>"0204001586"</f>
        <v>0204001586</v>
      </c>
      <c r="E2063" s="3" t="str">
        <f>"ياتاقان ژورنال RL11D001"</f>
        <v>ياتاقان ژورنال RL11D001</v>
      </c>
      <c r="F2063" s="3" t="str">
        <f t="shared" si="261"/>
        <v>عدد</v>
      </c>
      <c r="G2063" s="3">
        <v>2</v>
      </c>
      <c r="H2063" s="5">
        <v>59400000</v>
      </c>
    </row>
    <row r="2064" spans="1:8" ht="18.75" x14ac:dyDescent="0.2">
      <c r="A2064" s="3" t="str">
        <f t="shared" si="258"/>
        <v>98/11/26</v>
      </c>
      <c r="B2064" s="3" t="str">
        <f t="shared" si="259"/>
        <v>كالاهاي مصرفي</v>
      </c>
      <c r="C2064" s="3" t="str">
        <f t="shared" si="260"/>
        <v>انبار مصرفي ZU1</v>
      </c>
      <c r="D2064" s="3" t="str">
        <f>"0214000433"</f>
        <v>0214000433</v>
      </c>
      <c r="E2064" s="3" t="str">
        <f>"شافت پمپ TN30D001"</f>
        <v>شافت پمپ TN30D001</v>
      </c>
      <c r="F2064" s="3" t="str">
        <f t="shared" si="261"/>
        <v>عدد</v>
      </c>
      <c r="G2064" s="3">
        <v>1</v>
      </c>
      <c r="H2064" s="5">
        <v>59500000</v>
      </c>
    </row>
    <row r="2065" spans="1:8" ht="18.75" x14ac:dyDescent="0.2">
      <c r="A2065" s="3" t="str">
        <f t="shared" si="258"/>
        <v>98/11/26</v>
      </c>
      <c r="B2065" s="3" t="str">
        <f t="shared" si="259"/>
        <v>كالاهاي مصرفي</v>
      </c>
      <c r="C2065" s="3" t="str">
        <f t="shared" si="260"/>
        <v>انبار مصرفي ZU1</v>
      </c>
      <c r="D2065" s="3" t="str">
        <f>"0105000041"</f>
        <v>0105000041</v>
      </c>
      <c r="E2065" s="3" t="str">
        <f>"اسپري  W . D-  40"</f>
        <v>اسپري  W . D-  40</v>
      </c>
      <c r="F2065" s="3" t="str">
        <f t="shared" si="261"/>
        <v>عدد</v>
      </c>
      <c r="G2065" s="3">
        <v>330</v>
      </c>
      <c r="H2065" s="5">
        <v>59580000</v>
      </c>
    </row>
    <row r="2066" spans="1:8" ht="18.75" x14ac:dyDescent="0.2">
      <c r="A2066" s="3" t="str">
        <f t="shared" si="258"/>
        <v>98/11/26</v>
      </c>
      <c r="B2066" s="3" t="str">
        <f t="shared" si="259"/>
        <v>كالاهاي مصرفي</v>
      </c>
      <c r="C2066" s="3" t="str">
        <f>"انبار مركزي ( عمومي )"</f>
        <v>انبار مركزي ( عمومي )</v>
      </c>
      <c r="D2066" s="3" t="str">
        <f>"0206000606"</f>
        <v>0206000606</v>
      </c>
      <c r="E2066" s="3" t="str">
        <f>"بست كمربندي پلاستيكي 50 سانتي"</f>
        <v>بست كمربندي پلاستيكي 50 سانتي</v>
      </c>
      <c r="F2066" s="3" t="str">
        <f>"بسته"</f>
        <v>بسته</v>
      </c>
      <c r="G2066" s="3">
        <v>44</v>
      </c>
      <c r="H2066" s="5">
        <v>59600001</v>
      </c>
    </row>
    <row r="2067" spans="1:8" ht="18.75" x14ac:dyDescent="0.2">
      <c r="A2067" s="3" t="str">
        <f t="shared" si="258"/>
        <v>98/11/26</v>
      </c>
      <c r="B2067" s="3" t="str">
        <f t="shared" si="259"/>
        <v>كالاهاي مصرفي</v>
      </c>
      <c r="C2067" s="3" t="str">
        <f>"انبار مصرفي ZU1"</f>
        <v>انبار مصرفي ZU1</v>
      </c>
      <c r="D2067" s="3" t="str">
        <f>"0209000011"</f>
        <v>0209000011</v>
      </c>
      <c r="E2067" s="3" t="str">
        <f>"پروانه پمپ"</f>
        <v>پروانه پمپ</v>
      </c>
      <c r="F2067" s="3" t="str">
        <f>"عدد"</f>
        <v>عدد</v>
      </c>
      <c r="G2067" s="3">
        <v>9</v>
      </c>
      <c r="H2067" s="5">
        <v>59850000</v>
      </c>
    </row>
    <row r="2068" spans="1:8" ht="18.75" x14ac:dyDescent="0.2">
      <c r="A2068" s="3" t="str">
        <f t="shared" si="258"/>
        <v>98/11/26</v>
      </c>
      <c r="B2068" s="3" t="str">
        <f t="shared" si="259"/>
        <v>كالاهاي مصرفي</v>
      </c>
      <c r="C2068" s="3" t="str">
        <f>"انبار مركزي ( عمومي )"</f>
        <v>انبار مركزي ( عمومي )</v>
      </c>
      <c r="D2068" s="3" t="str">
        <f>"0102000129"</f>
        <v>0102000129</v>
      </c>
      <c r="E2068" s="3" t="str">
        <f>"رنگ عايق استاتور"</f>
        <v>رنگ عايق استاتور</v>
      </c>
      <c r="F2068" s="3" t="str">
        <f>"کيلوگرم"</f>
        <v>کيلوگرم</v>
      </c>
      <c r="G2068" s="3">
        <v>20</v>
      </c>
      <c r="H2068" s="5">
        <v>60000000</v>
      </c>
    </row>
    <row r="2069" spans="1:8" ht="18.75" x14ac:dyDescent="0.2">
      <c r="A2069" s="3" t="str">
        <f t="shared" si="258"/>
        <v>98/11/26</v>
      </c>
      <c r="B2069" s="3" t="str">
        <f t="shared" si="259"/>
        <v>كالاهاي مصرفي</v>
      </c>
      <c r="C2069" s="3" t="str">
        <f>"انبار مصرفي ZU1"</f>
        <v>انبار مصرفي ZU1</v>
      </c>
      <c r="D2069" s="3" t="str">
        <f>"0204001747"</f>
        <v>0204001747</v>
      </c>
      <c r="E2069" s="3" t="str">
        <f>"پكينگ آبندي فشاري 18 *18 شير تفلون آزبستي"</f>
        <v>پكينگ آبندي فشاري 18 *18 شير تفلون آزبستي</v>
      </c>
      <c r="F2069" s="3" t="str">
        <f>"کيلوگرم"</f>
        <v>کيلوگرم</v>
      </c>
      <c r="G2069" s="3">
        <v>50</v>
      </c>
      <c r="H2069" s="5">
        <v>60000000</v>
      </c>
    </row>
    <row r="2070" spans="1:8" ht="18.75" x14ac:dyDescent="0.2">
      <c r="A2070" s="3" t="str">
        <f t="shared" si="258"/>
        <v>98/11/26</v>
      </c>
      <c r="B2070" s="3" t="str">
        <f t="shared" si="259"/>
        <v>كالاهاي مصرفي</v>
      </c>
      <c r="C2070" s="3" t="str">
        <f>"انبار مصرفي ZU1"</f>
        <v>انبار مصرفي ZU1</v>
      </c>
      <c r="D2070" s="3" t="str">
        <f>"0204002401"</f>
        <v>0204002401</v>
      </c>
      <c r="E2070" s="3" t="str">
        <f>"واشر سيليكوني 5*5*24"</f>
        <v>واشر سيليكوني 5*5*24</v>
      </c>
      <c r="F2070" s="3" t="str">
        <f>"عدد"</f>
        <v>عدد</v>
      </c>
      <c r="G2070" s="3">
        <v>500</v>
      </c>
      <c r="H2070" s="5">
        <v>60000000</v>
      </c>
    </row>
    <row r="2071" spans="1:8" ht="18.75" x14ac:dyDescent="0.2">
      <c r="A2071" s="3" t="str">
        <f t="shared" si="258"/>
        <v>98/11/26</v>
      </c>
      <c r="B2071" s="3" t="str">
        <f t="shared" si="259"/>
        <v>كالاهاي مصرفي</v>
      </c>
      <c r="C2071" s="3" t="str">
        <f>"انبار مصرفي ZU1"</f>
        <v>انبار مصرفي ZU1</v>
      </c>
      <c r="D2071" s="3" t="str">
        <f>"0209000438"</f>
        <v>0209000438</v>
      </c>
      <c r="E2071" s="3" t="str">
        <f>"شافت ( محور ) فن UV10D001-8"</f>
        <v>شافت ( محور ) فن UV10D001-8</v>
      </c>
      <c r="F2071" s="3" t="str">
        <f>"عدد"</f>
        <v>عدد</v>
      </c>
      <c r="G2071" s="3">
        <v>1</v>
      </c>
      <c r="H2071" s="5">
        <v>60000000</v>
      </c>
    </row>
    <row r="2072" spans="1:8" ht="18.75" x14ac:dyDescent="0.2">
      <c r="A2072" s="3" t="str">
        <f t="shared" si="258"/>
        <v>98/11/26</v>
      </c>
      <c r="B2072" s="3" t="str">
        <f t="shared" si="259"/>
        <v>كالاهاي مصرفي</v>
      </c>
      <c r="C2072" s="3" t="str">
        <f>"انبار مركزي ( عمومي )"</f>
        <v>انبار مركزي ( عمومي )</v>
      </c>
      <c r="D2072" s="3" t="str">
        <f>"0211001830"</f>
        <v>0211001830</v>
      </c>
      <c r="E2072" s="3" t="str">
        <f>"بست كمربندي گالوانيزه 30 سانتي"</f>
        <v>بست كمربندي گالوانيزه 30 سانتي</v>
      </c>
      <c r="F2072" s="3" t="str">
        <f>"بسته"</f>
        <v>بسته</v>
      </c>
      <c r="G2072" s="3">
        <v>30</v>
      </c>
      <c r="H2072" s="5">
        <v>60000000</v>
      </c>
    </row>
    <row r="2073" spans="1:8" ht="18.75" x14ac:dyDescent="0.2">
      <c r="A2073" s="3" t="str">
        <f t="shared" si="258"/>
        <v>98/11/26</v>
      </c>
      <c r="B2073" s="3" t="str">
        <f t="shared" si="259"/>
        <v>كالاهاي مصرفي</v>
      </c>
      <c r="C2073" s="3" t="str">
        <f t="shared" ref="C2073:C2087" si="262">"انبار مصرفي ZU1"</f>
        <v>انبار مصرفي ZU1</v>
      </c>
      <c r="D2073" s="3" t="str">
        <f>"0211002143"</f>
        <v>0211002143</v>
      </c>
      <c r="E2073" s="3" t="str">
        <f>"سايد گلاس اينتر كولر يو رگ"</f>
        <v>سايد گلاس اينتر كولر يو رگ</v>
      </c>
      <c r="F2073" s="3" t="str">
        <f>"عدد"</f>
        <v>عدد</v>
      </c>
      <c r="G2073" s="3">
        <v>6</v>
      </c>
      <c r="H2073" s="5">
        <v>60000000</v>
      </c>
    </row>
    <row r="2074" spans="1:8" ht="18.75" x14ac:dyDescent="0.2">
      <c r="A2074" s="3" t="str">
        <f t="shared" si="258"/>
        <v>98/11/26</v>
      </c>
      <c r="B2074" s="3" t="str">
        <f t="shared" si="259"/>
        <v>كالاهاي مصرفي</v>
      </c>
      <c r="C2074" s="3" t="str">
        <f t="shared" si="262"/>
        <v>انبار مصرفي ZU1</v>
      </c>
      <c r="D2074" s="3" t="str">
        <f>"0204000401"</f>
        <v>0204000401</v>
      </c>
      <c r="E2074" s="3" t="str">
        <f>"بيرينگ 2Z/C3-6219"</f>
        <v>بيرينگ 2Z/C3-6219</v>
      </c>
      <c r="F2074" s="3" t="str">
        <f>"عدد"</f>
        <v>عدد</v>
      </c>
      <c r="G2074" s="3">
        <v>15</v>
      </c>
      <c r="H2074" s="5">
        <v>60300000</v>
      </c>
    </row>
    <row r="2075" spans="1:8" ht="18.75" x14ac:dyDescent="0.2">
      <c r="A2075" s="3" t="str">
        <f t="shared" si="258"/>
        <v>98/11/26</v>
      </c>
      <c r="B2075" s="3" t="str">
        <f t="shared" si="259"/>
        <v>كالاهاي مصرفي</v>
      </c>
      <c r="C2075" s="3" t="str">
        <f t="shared" si="262"/>
        <v>انبار مصرفي ZU1</v>
      </c>
      <c r="D2075" s="3" t="str">
        <f>"0303000212"</f>
        <v>0303000212</v>
      </c>
      <c r="E2075" s="3" t="str">
        <f>"مانومتر(40-0) bar"</f>
        <v>مانومتر(40-0) bar</v>
      </c>
      <c r="F2075" s="3" t="str">
        <f>"دستگاه"</f>
        <v>دستگاه</v>
      </c>
      <c r="G2075" s="3">
        <v>11</v>
      </c>
      <c r="H2075" s="5">
        <v>62294736</v>
      </c>
    </row>
    <row r="2076" spans="1:8" ht="18.75" x14ac:dyDescent="0.2">
      <c r="A2076" s="3" t="str">
        <f t="shared" si="258"/>
        <v>98/11/26</v>
      </c>
      <c r="B2076" s="3" t="str">
        <f t="shared" si="259"/>
        <v>كالاهاي مصرفي</v>
      </c>
      <c r="C2076" s="3" t="str">
        <f t="shared" si="262"/>
        <v>انبار مصرفي ZU1</v>
      </c>
      <c r="D2076" s="3" t="str">
        <f>"0212000031"</f>
        <v>0212000031</v>
      </c>
      <c r="E2076" s="3" t="str">
        <f>"ورق تكستوليت 5 ميل"</f>
        <v>ورق تكستوليت 5 ميل</v>
      </c>
      <c r="F2076" s="3" t="str">
        <f>"کيلوگرم"</f>
        <v>کيلوگرم</v>
      </c>
      <c r="G2076" s="3">
        <v>87.3</v>
      </c>
      <c r="H2076" s="5">
        <v>62856000</v>
      </c>
    </row>
    <row r="2077" spans="1:8" ht="18.75" x14ac:dyDescent="0.2">
      <c r="A2077" s="3" t="str">
        <f t="shared" si="258"/>
        <v>98/11/26</v>
      </c>
      <c r="B2077" s="3" t="str">
        <f t="shared" si="259"/>
        <v>كالاهاي مصرفي</v>
      </c>
      <c r="C2077" s="3" t="str">
        <f t="shared" si="262"/>
        <v>انبار مصرفي ZU1</v>
      </c>
      <c r="D2077" s="3" t="str">
        <f>"0103000054"</f>
        <v>0103000054</v>
      </c>
      <c r="E2077" s="3" t="str">
        <f>"اسيد اگزاليك صنعتي"</f>
        <v>اسيد اگزاليك صنعتي</v>
      </c>
      <c r="F2077" s="3" t="str">
        <f>"کيلوگرم"</f>
        <v>کيلوگرم</v>
      </c>
      <c r="G2077" s="3">
        <v>500</v>
      </c>
      <c r="H2077" s="5">
        <v>63000000</v>
      </c>
    </row>
    <row r="2078" spans="1:8" ht="18.75" x14ac:dyDescent="0.2">
      <c r="A2078" s="3" t="str">
        <f t="shared" si="258"/>
        <v>98/11/26</v>
      </c>
      <c r="B2078" s="3" t="str">
        <f t="shared" si="259"/>
        <v>كالاهاي مصرفي</v>
      </c>
      <c r="C2078" s="3" t="str">
        <f t="shared" si="262"/>
        <v>انبار مصرفي ZU1</v>
      </c>
      <c r="D2078" s="3" t="str">
        <f>"0213000846"</f>
        <v>0213000846</v>
      </c>
      <c r="E2078" s="3" t="str">
        <f>"سمباده رولي P1200"</f>
        <v>سمباده رولي P1200</v>
      </c>
      <c r="F2078" s="3" t="str">
        <f>"رول"</f>
        <v>رول</v>
      </c>
      <c r="G2078" s="3">
        <v>12</v>
      </c>
      <c r="H2078" s="5">
        <v>64528571</v>
      </c>
    </row>
    <row r="2079" spans="1:8" ht="18.75" x14ac:dyDescent="0.2">
      <c r="A2079" s="3" t="str">
        <f t="shared" si="258"/>
        <v>98/11/26</v>
      </c>
      <c r="B2079" s="3" t="str">
        <f t="shared" si="259"/>
        <v>كالاهاي مصرفي</v>
      </c>
      <c r="C2079" s="3" t="str">
        <f t="shared" si="262"/>
        <v>انبار مصرفي ZU1</v>
      </c>
      <c r="D2079" s="3" t="str">
        <f>"0204001856"</f>
        <v>0204001856</v>
      </c>
      <c r="E2079" s="3" t="str">
        <f>"پكينگ آبندي فشاري 14*14 گرافيت خالص"</f>
        <v>پكينگ آبندي فشاري 14*14 گرافيت خالص</v>
      </c>
      <c r="F2079" s="3" t="str">
        <f>"کيلوگرم"</f>
        <v>کيلوگرم</v>
      </c>
      <c r="G2079" s="3">
        <v>45</v>
      </c>
      <c r="H2079" s="5">
        <v>65250000</v>
      </c>
    </row>
    <row r="2080" spans="1:8" ht="18.75" x14ac:dyDescent="0.2">
      <c r="A2080" s="3" t="str">
        <f t="shared" si="258"/>
        <v>98/11/26</v>
      </c>
      <c r="B2080" s="3" t="str">
        <f t="shared" si="259"/>
        <v>كالاهاي مصرفي</v>
      </c>
      <c r="C2080" s="3" t="str">
        <f t="shared" si="262"/>
        <v>انبار مصرفي ZU1</v>
      </c>
      <c r="D2080" s="3" t="str">
        <f>"0204001452"</f>
        <v>0204001452</v>
      </c>
      <c r="E2080" s="3" t="str">
        <f>"اورينگ سيليكون قطر 10ميليمتر"</f>
        <v>اورينگ سيليكون قطر 10ميليمتر</v>
      </c>
      <c r="F2080" s="3" t="str">
        <f>"متر"</f>
        <v>متر</v>
      </c>
      <c r="G2080" s="3">
        <v>674.9</v>
      </c>
      <c r="H2080" s="5">
        <v>65561805</v>
      </c>
    </row>
    <row r="2081" spans="1:8" ht="18.75" x14ac:dyDescent="0.2">
      <c r="A2081" s="3" t="str">
        <f t="shared" si="258"/>
        <v>98/11/26</v>
      </c>
      <c r="B2081" s="3" t="str">
        <f t="shared" si="259"/>
        <v>كالاهاي مصرفي</v>
      </c>
      <c r="C2081" s="3" t="str">
        <f t="shared" si="262"/>
        <v>انبار مصرفي ZU1</v>
      </c>
      <c r="D2081" s="3" t="str">
        <f>"0209000402"</f>
        <v>0209000402</v>
      </c>
      <c r="E2081" s="3" t="str">
        <f>"چرخ دنده سكسيونر ارت ديزل موبايل"</f>
        <v>چرخ دنده سكسيونر ارت ديزل موبايل</v>
      </c>
      <c r="F2081" s="3" t="str">
        <f>"عدد"</f>
        <v>عدد</v>
      </c>
      <c r="G2081" s="3">
        <v>8</v>
      </c>
      <c r="H2081" s="5">
        <v>65600000</v>
      </c>
    </row>
    <row r="2082" spans="1:8" ht="18.75" x14ac:dyDescent="0.2">
      <c r="A2082" s="3" t="str">
        <f t="shared" si="258"/>
        <v>98/11/26</v>
      </c>
      <c r="B2082" s="3" t="str">
        <f t="shared" si="259"/>
        <v>كالاهاي مصرفي</v>
      </c>
      <c r="C2082" s="3" t="str">
        <f t="shared" si="262"/>
        <v>انبار مصرفي ZU1</v>
      </c>
      <c r="D2082" s="3" t="str">
        <f>"0204000262"</f>
        <v>0204000262</v>
      </c>
      <c r="E2082" s="3" t="str">
        <f>"پكينگ آبندي فشاري 8 *8 شير تفلوني آزبستي"</f>
        <v>پكينگ آبندي فشاري 8 *8 شير تفلوني آزبستي</v>
      </c>
      <c r="F2082" s="3" t="str">
        <f>"کيلوگرم"</f>
        <v>کيلوگرم</v>
      </c>
      <c r="G2082" s="3">
        <v>58.2</v>
      </c>
      <c r="H2082" s="5">
        <v>66000000</v>
      </c>
    </row>
    <row r="2083" spans="1:8" ht="18.75" x14ac:dyDescent="0.2">
      <c r="A2083" s="3" t="str">
        <f t="shared" si="258"/>
        <v>98/11/26</v>
      </c>
      <c r="B2083" s="3" t="str">
        <f t="shared" si="259"/>
        <v>كالاهاي مصرفي</v>
      </c>
      <c r="C2083" s="3" t="str">
        <f t="shared" si="262"/>
        <v>انبار مصرفي ZU1</v>
      </c>
      <c r="D2083" s="3" t="str">
        <f>"0204001778"</f>
        <v>0204001778</v>
      </c>
      <c r="E2083" s="3" t="str">
        <f>"پكينگ آب بندي گرافيت مسلح  18* 18"</f>
        <v>پكينگ آب بندي گرافيت مسلح  18* 18</v>
      </c>
      <c r="F2083" s="3" t="str">
        <f>"کيلوگرم"</f>
        <v>کيلوگرم</v>
      </c>
      <c r="G2083" s="3">
        <v>50</v>
      </c>
      <c r="H2083" s="5">
        <v>66000000</v>
      </c>
    </row>
    <row r="2084" spans="1:8" ht="18.75" x14ac:dyDescent="0.2">
      <c r="A2084" s="3" t="str">
        <f t="shared" si="258"/>
        <v>98/11/26</v>
      </c>
      <c r="B2084" s="3" t="str">
        <f t="shared" si="259"/>
        <v>كالاهاي مصرفي</v>
      </c>
      <c r="C2084" s="3" t="str">
        <f t="shared" si="262"/>
        <v>انبار مصرفي ZU1</v>
      </c>
      <c r="D2084" s="3" t="str">
        <f>"0204001058"</f>
        <v>0204001058</v>
      </c>
      <c r="E2084" s="3" t="str">
        <f>"صفحات لاستيك آببندي معمولي ضخامت 10 ميليمتر"</f>
        <v>صفحات لاستيك آببندي معمولي ضخامت 10 ميليمتر</v>
      </c>
      <c r="F2084" s="3" t="str">
        <f>"کيلوگرم"</f>
        <v>کيلوگرم</v>
      </c>
      <c r="G2084" s="3">
        <v>481</v>
      </c>
      <c r="H2084" s="5">
        <v>66390000</v>
      </c>
    </row>
    <row r="2085" spans="1:8" ht="18.75" x14ac:dyDescent="0.2">
      <c r="A2085" s="3" t="str">
        <f t="shared" si="258"/>
        <v>98/11/26</v>
      </c>
      <c r="B2085" s="3" t="str">
        <f t="shared" si="259"/>
        <v>كالاهاي مصرفي</v>
      </c>
      <c r="C2085" s="3" t="str">
        <f t="shared" si="262"/>
        <v>انبار مصرفي ZU1</v>
      </c>
      <c r="D2085" s="3" t="str">
        <f>"0204000158"</f>
        <v>0204000158</v>
      </c>
      <c r="E2085" s="3" t="str">
        <f>"بيرينگ 7320-BECBM"</f>
        <v>بيرينگ 7320-BECBM</v>
      </c>
      <c r="F2085" s="3" t="str">
        <f>"عدد"</f>
        <v>عدد</v>
      </c>
      <c r="G2085" s="3">
        <v>6</v>
      </c>
      <c r="H2085" s="5">
        <v>66431250</v>
      </c>
    </row>
    <row r="2086" spans="1:8" ht="18.75" x14ac:dyDescent="0.2">
      <c r="A2086" s="3" t="str">
        <f t="shared" si="258"/>
        <v>98/11/26</v>
      </c>
      <c r="B2086" s="3" t="str">
        <f t="shared" si="259"/>
        <v>كالاهاي مصرفي</v>
      </c>
      <c r="C2086" s="3" t="str">
        <f t="shared" si="262"/>
        <v>انبار مصرفي ZU1</v>
      </c>
      <c r="D2086" s="3" t="str">
        <f>"0213000858"</f>
        <v>0213000858</v>
      </c>
      <c r="E2086" s="3" t="str">
        <f>"سمباده رولي P180"</f>
        <v>سمباده رولي P180</v>
      </c>
      <c r="F2086" s="3" t="str">
        <f>"رول"</f>
        <v>رول</v>
      </c>
      <c r="G2086" s="3">
        <v>20</v>
      </c>
      <c r="H2086" s="5">
        <v>66836956</v>
      </c>
    </row>
    <row r="2087" spans="1:8" ht="18.75" x14ac:dyDescent="0.2">
      <c r="A2087" s="3" t="str">
        <f t="shared" si="258"/>
        <v>98/11/26</v>
      </c>
      <c r="B2087" s="3" t="str">
        <f t="shared" si="259"/>
        <v>كالاهاي مصرفي</v>
      </c>
      <c r="C2087" s="3" t="str">
        <f t="shared" si="262"/>
        <v>انبار مصرفي ZU1</v>
      </c>
      <c r="D2087" s="3" t="str">
        <f>"0106000101"</f>
        <v>0106000101</v>
      </c>
      <c r="E2087" s="3" t="str">
        <f>"گريس SKF LGEM 2 سطل 18 كيلويي"</f>
        <v>گريس SKF LGEM 2 سطل 18 كيلويي</v>
      </c>
      <c r="F2087" s="3" t="str">
        <f>"سطل"</f>
        <v>سطل</v>
      </c>
      <c r="G2087" s="3">
        <v>5</v>
      </c>
      <c r="H2087" s="5">
        <v>67500000</v>
      </c>
    </row>
    <row r="2088" spans="1:8" ht="18.75" x14ac:dyDescent="0.2">
      <c r="A2088" s="3" t="str">
        <f t="shared" si="258"/>
        <v>98/11/26</v>
      </c>
      <c r="B2088" s="3" t="str">
        <f t="shared" si="259"/>
        <v>كالاهاي مصرفي</v>
      </c>
      <c r="C2088" s="3" t="str">
        <f>"انبار مركزي ( عمومي )"</f>
        <v>انبار مركزي ( عمومي )</v>
      </c>
      <c r="D2088" s="3" t="str">
        <f>"0110000015"</f>
        <v>0110000015</v>
      </c>
      <c r="E2088" s="3" t="str">
        <f>"قفل کمدي"</f>
        <v>قفل کمدي</v>
      </c>
      <c r="F2088" s="3" t="str">
        <f>"عدد"</f>
        <v>عدد</v>
      </c>
      <c r="G2088" s="3">
        <v>661</v>
      </c>
      <c r="H2088" s="5">
        <v>67613573</v>
      </c>
    </row>
    <row r="2089" spans="1:8" ht="18.75" x14ac:dyDescent="0.2">
      <c r="A2089" s="3" t="str">
        <f t="shared" si="258"/>
        <v>98/11/26</v>
      </c>
      <c r="B2089" s="3" t="str">
        <f t="shared" si="259"/>
        <v>كالاهاي مصرفي</v>
      </c>
      <c r="C2089" s="3" t="str">
        <f>"انبار مصرفي ZU1"</f>
        <v>انبار مصرفي ZU1</v>
      </c>
      <c r="D2089" s="3" t="str">
        <f>"0204000075"</f>
        <v>0204000075</v>
      </c>
      <c r="E2089" s="3" t="str">
        <f>"بيرينگ NU220-ECML/C3"</f>
        <v>بيرينگ NU220-ECML/C3</v>
      </c>
      <c r="F2089" s="3" t="str">
        <f>"عدد"</f>
        <v>عدد</v>
      </c>
      <c r="G2089" s="3">
        <v>2</v>
      </c>
      <c r="H2089" s="5">
        <v>68000000</v>
      </c>
    </row>
    <row r="2090" spans="1:8" ht="18.75" x14ac:dyDescent="0.2">
      <c r="A2090" s="3" t="str">
        <f t="shared" si="258"/>
        <v>98/11/26</v>
      </c>
      <c r="B2090" s="3" t="str">
        <f t="shared" si="259"/>
        <v>كالاهاي مصرفي</v>
      </c>
      <c r="C2090" s="3" t="str">
        <f>"انبار مصرفي ZU1"</f>
        <v>انبار مصرفي ZU1</v>
      </c>
      <c r="D2090" s="3" t="str">
        <f>"0213001132"</f>
        <v>0213001132</v>
      </c>
      <c r="E2090" s="3" t="str">
        <f>"پيچ فولاد كربن استيل 170*M27"</f>
        <v>پيچ فولاد كربن استيل 170*M27</v>
      </c>
      <c r="F2090" s="3" t="str">
        <f>"عدد"</f>
        <v>عدد</v>
      </c>
      <c r="G2090" s="3">
        <v>24</v>
      </c>
      <c r="H2090" s="5">
        <v>68400000</v>
      </c>
    </row>
    <row r="2091" spans="1:8" ht="18.75" x14ac:dyDescent="0.2">
      <c r="A2091" s="3" t="str">
        <f t="shared" si="258"/>
        <v>98/11/26</v>
      </c>
      <c r="B2091" s="3" t="str">
        <f t="shared" si="259"/>
        <v>كالاهاي مصرفي</v>
      </c>
      <c r="C2091" s="3" t="str">
        <f>"انبار مصرفي ZU1"</f>
        <v>انبار مصرفي ZU1</v>
      </c>
      <c r="D2091" s="3" t="str">
        <f>"0204000268"</f>
        <v>0204000268</v>
      </c>
      <c r="E2091" s="3" t="str">
        <f>"پكينگ آبندي فشاري 6* 6  تفلون گرافيتي"</f>
        <v>پكينگ آبندي فشاري 6* 6  تفلون گرافيتي</v>
      </c>
      <c r="F2091" s="3" t="str">
        <f>"کيلوگرم"</f>
        <v>کيلوگرم</v>
      </c>
      <c r="G2091" s="3">
        <v>25</v>
      </c>
      <c r="H2091" s="5">
        <v>68685000</v>
      </c>
    </row>
    <row r="2092" spans="1:8" ht="18.75" x14ac:dyDescent="0.2">
      <c r="A2092" s="3" t="str">
        <f t="shared" si="258"/>
        <v>98/11/26</v>
      </c>
      <c r="B2092" s="3" t="str">
        <f t="shared" si="259"/>
        <v>كالاهاي مصرفي</v>
      </c>
      <c r="C2092" s="3" t="str">
        <f>"انبار مصرفي ZU1"</f>
        <v>انبار مصرفي ZU1</v>
      </c>
      <c r="D2092" s="3" t="str">
        <f>"0213000151"</f>
        <v>0213000151</v>
      </c>
      <c r="E2092" s="3" t="str">
        <f>"پيچ M36*100"</f>
        <v>پيچ M36*100</v>
      </c>
      <c r="F2092" s="3" t="str">
        <f>"عدد"</f>
        <v>عدد</v>
      </c>
      <c r="G2092" s="3">
        <v>472</v>
      </c>
      <c r="H2092" s="5">
        <v>68841200</v>
      </c>
    </row>
    <row r="2093" spans="1:8" ht="18.75" x14ac:dyDescent="0.2">
      <c r="A2093" s="3" t="str">
        <f t="shared" si="258"/>
        <v>98/11/26</v>
      </c>
      <c r="B2093" s="3" t="str">
        <f t="shared" si="259"/>
        <v>كالاهاي مصرفي</v>
      </c>
      <c r="C2093" s="3" t="str">
        <f>"انبار مصرفي ZU1"</f>
        <v>انبار مصرفي ZU1</v>
      </c>
      <c r="D2093" s="3" t="str">
        <f>"0204000148"</f>
        <v>0204000148</v>
      </c>
      <c r="E2093" s="3" t="str">
        <f>"واشر رزين P شكل"</f>
        <v>واشر رزين P شكل</v>
      </c>
      <c r="F2093" s="3" t="str">
        <f>"متر"</f>
        <v>متر</v>
      </c>
      <c r="G2093" s="3">
        <v>60</v>
      </c>
      <c r="H2093" s="5">
        <v>69360000</v>
      </c>
    </row>
    <row r="2094" spans="1:8" ht="18.75" x14ac:dyDescent="0.2">
      <c r="A2094" s="3" t="str">
        <f t="shared" si="258"/>
        <v>98/11/26</v>
      </c>
      <c r="B2094" s="3" t="str">
        <f t="shared" si="259"/>
        <v>كالاهاي مصرفي</v>
      </c>
      <c r="C2094" s="3" t="str">
        <f>"انبار مركزي ( عمومي )"</f>
        <v>انبار مركزي ( عمومي )</v>
      </c>
      <c r="D2094" s="3" t="str">
        <f>"0213000724"</f>
        <v>0213000724</v>
      </c>
      <c r="E2094" s="3" t="str">
        <f>"قفل درب"</f>
        <v>قفل درب</v>
      </c>
      <c r="F2094" s="3" t="str">
        <f>"عدد"</f>
        <v>عدد</v>
      </c>
      <c r="G2094" s="3">
        <v>199</v>
      </c>
      <c r="H2094" s="5">
        <v>69491795</v>
      </c>
    </row>
    <row r="2095" spans="1:8" ht="18.75" x14ac:dyDescent="0.2">
      <c r="A2095" s="3" t="str">
        <f t="shared" si="258"/>
        <v>98/11/26</v>
      </c>
      <c r="B2095" s="3" t="str">
        <f t="shared" si="259"/>
        <v>كالاهاي مصرفي</v>
      </c>
      <c r="C2095" s="3" t="str">
        <f t="shared" ref="C2095:C2111" si="263">"انبار مصرفي ZU1"</f>
        <v>انبار مصرفي ZU1</v>
      </c>
      <c r="D2095" s="3" t="str">
        <f>"0204000556"</f>
        <v>0204000556</v>
      </c>
      <c r="E2095" s="3" t="str">
        <f>"بيرينگ NU421 ECM"</f>
        <v>بيرينگ NU421 ECM</v>
      </c>
      <c r="F2095" s="3" t="str">
        <f>"عدد"</f>
        <v>عدد</v>
      </c>
      <c r="G2095" s="3">
        <v>5</v>
      </c>
      <c r="H2095" s="5">
        <v>70000000</v>
      </c>
    </row>
    <row r="2096" spans="1:8" ht="18.75" x14ac:dyDescent="0.2">
      <c r="A2096" s="3" t="str">
        <f t="shared" si="258"/>
        <v>98/11/26</v>
      </c>
      <c r="B2096" s="3" t="str">
        <f t="shared" si="259"/>
        <v>كالاهاي مصرفي</v>
      </c>
      <c r="C2096" s="3" t="str">
        <f t="shared" si="263"/>
        <v>انبار مصرفي ZU1</v>
      </c>
      <c r="D2096" s="3" t="str">
        <f>"0204001405"</f>
        <v>0204001405</v>
      </c>
      <c r="E2096" s="3" t="str">
        <f>"واشر رزيني ضخامت 10 ميلي متر"</f>
        <v>واشر رزيني ضخامت 10 ميلي متر</v>
      </c>
      <c r="F2096" s="3" t="str">
        <f>"عدد"</f>
        <v>عدد</v>
      </c>
      <c r="G2096" s="3">
        <v>2000</v>
      </c>
      <c r="H2096" s="5">
        <v>70000000</v>
      </c>
    </row>
    <row r="2097" spans="1:8" ht="18.75" x14ac:dyDescent="0.2">
      <c r="A2097" s="3" t="str">
        <f t="shared" si="258"/>
        <v>98/11/26</v>
      </c>
      <c r="B2097" s="3" t="str">
        <f t="shared" si="259"/>
        <v>كالاهاي مصرفي</v>
      </c>
      <c r="C2097" s="3" t="str">
        <f t="shared" si="263"/>
        <v>انبار مصرفي ZU1</v>
      </c>
      <c r="D2097" s="3" t="str">
        <f>"0204000256"</f>
        <v>0204000256</v>
      </c>
      <c r="E2097" s="3" t="str">
        <f>"پكينگ آبندي فشاري 16 *16 شير تفلون آزبستي"</f>
        <v>پكينگ آبندي فشاري 16 *16 شير تفلون آزبستي</v>
      </c>
      <c r="F2097" s="3" t="str">
        <f>"کيلوگرم"</f>
        <v>کيلوگرم</v>
      </c>
      <c r="G2097" s="3">
        <v>58.58</v>
      </c>
      <c r="H2097" s="5">
        <v>70800000</v>
      </c>
    </row>
    <row r="2098" spans="1:8" ht="18.75" x14ac:dyDescent="0.2">
      <c r="A2098" s="3" t="str">
        <f t="shared" si="258"/>
        <v>98/11/26</v>
      </c>
      <c r="B2098" s="3" t="str">
        <f t="shared" si="259"/>
        <v>كالاهاي مصرفي</v>
      </c>
      <c r="C2098" s="3" t="str">
        <f t="shared" si="263"/>
        <v>انبار مصرفي ZU1</v>
      </c>
      <c r="D2098" s="3" t="str">
        <f>"0204002336"</f>
        <v>0204002336</v>
      </c>
      <c r="E2098" s="3" t="str">
        <f>"اورينگ 208*4 Neoperene"</f>
        <v>اورينگ 208*4 Neoperene</v>
      </c>
      <c r="F2098" s="3" t="str">
        <f>"عدد"</f>
        <v>عدد</v>
      </c>
      <c r="G2098" s="3">
        <v>8</v>
      </c>
      <c r="H2098" s="5">
        <v>71100000</v>
      </c>
    </row>
    <row r="2099" spans="1:8" ht="18.75" x14ac:dyDescent="0.2">
      <c r="A2099" s="3" t="str">
        <f t="shared" si="258"/>
        <v>98/11/26</v>
      </c>
      <c r="B2099" s="3" t="str">
        <f t="shared" si="259"/>
        <v>كالاهاي مصرفي</v>
      </c>
      <c r="C2099" s="3" t="str">
        <f t="shared" si="263"/>
        <v>انبار مصرفي ZU1</v>
      </c>
      <c r="D2099" s="3" t="str">
        <f>"0204002337"</f>
        <v>0204002337</v>
      </c>
      <c r="E2099" s="3" t="str">
        <f>"اورينگ 227.5*4 Neoperene"</f>
        <v>اورينگ 227.5*4 Neoperene</v>
      </c>
      <c r="F2099" s="3" t="str">
        <f>"عدد"</f>
        <v>عدد</v>
      </c>
      <c r="G2099" s="3">
        <v>8</v>
      </c>
      <c r="H2099" s="5">
        <v>71100000</v>
      </c>
    </row>
    <row r="2100" spans="1:8" ht="18.75" x14ac:dyDescent="0.2">
      <c r="A2100" s="3" t="str">
        <f t="shared" si="258"/>
        <v>98/11/26</v>
      </c>
      <c r="B2100" s="3" t="str">
        <f t="shared" si="259"/>
        <v>كالاهاي مصرفي</v>
      </c>
      <c r="C2100" s="3" t="str">
        <f t="shared" si="263"/>
        <v>انبار مصرفي ZU1</v>
      </c>
      <c r="D2100" s="3" t="str">
        <f>"0209000043"</f>
        <v>0209000043</v>
      </c>
      <c r="E2100" s="3" t="str">
        <f>"پيستون پمپ UE18D001"</f>
        <v>پيستون پمپ UE18D001</v>
      </c>
      <c r="F2100" s="3" t="str">
        <f>"عدد"</f>
        <v>عدد</v>
      </c>
      <c r="G2100" s="3">
        <v>4</v>
      </c>
      <c r="H2100" s="5">
        <v>71400000</v>
      </c>
    </row>
    <row r="2101" spans="1:8" ht="18.75" x14ac:dyDescent="0.2">
      <c r="A2101" s="3" t="str">
        <f t="shared" si="258"/>
        <v>98/11/26</v>
      </c>
      <c r="B2101" s="3" t="str">
        <f t="shared" si="259"/>
        <v>كالاهاي مصرفي</v>
      </c>
      <c r="C2101" s="3" t="str">
        <f t="shared" si="263"/>
        <v>انبار مصرفي ZU1</v>
      </c>
      <c r="D2101" s="3" t="str">
        <f>"0204000350"</f>
        <v>0204000350</v>
      </c>
      <c r="E2101" s="3" t="str">
        <f>"بيرينگ 421 NU"</f>
        <v>بيرينگ 421 NU</v>
      </c>
      <c r="F2101" s="3" t="str">
        <f>"عدد"</f>
        <v>عدد</v>
      </c>
      <c r="G2101" s="3">
        <v>3</v>
      </c>
      <c r="H2101" s="5">
        <v>71433333</v>
      </c>
    </row>
    <row r="2102" spans="1:8" ht="18.75" x14ac:dyDescent="0.2">
      <c r="A2102" s="3" t="str">
        <f t="shared" si="258"/>
        <v>98/11/26</v>
      </c>
      <c r="B2102" s="3" t="str">
        <f t="shared" si="259"/>
        <v>كالاهاي مصرفي</v>
      </c>
      <c r="C2102" s="3" t="str">
        <f t="shared" si="263"/>
        <v>انبار مصرفي ZU1</v>
      </c>
      <c r="D2102" s="3" t="str">
        <f>"0215000082"</f>
        <v>0215000082</v>
      </c>
      <c r="E2102" s="3" t="str">
        <f>"فيلتر  كيسه اي 300 * 592 *592 -F8"</f>
        <v>فيلتر  كيسه اي 300 * 592 *592 -F8</v>
      </c>
      <c r="F2102" s="3" t="str">
        <f>"عدد"</f>
        <v>عدد</v>
      </c>
      <c r="G2102" s="3">
        <v>138</v>
      </c>
      <c r="H2102" s="5">
        <v>71760000</v>
      </c>
    </row>
    <row r="2103" spans="1:8" ht="18.75" x14ac:dyDescent="0.2">
      <c r="A2103" s="3" t="str">
        <f t="shared" si="258"/>
        <v>98/11/26</v>
      </c>
      <c r="B2103" s="3" t="str">
        <f t="shared" si="259"/>
        <v>كالاهاي مصرفي</v>
      </c>
      <c r="C2103" s="3" t="str">
        <f t="shared" si="263"/>
        <v>انبار مصرفي ZU1</v>
      </c>
      <c r="D2103" s="3" t="str">
        <f>"0204000495"</f>
        <v>0204000495</v>
      </c>
      <c r="E2103" s="3" t="str">
        <f>"صفحات لاستيك آببندي مقاوم در مقابل محيط اسيدي،بازي و روغن ضخامت 8"</f>
        <v>صفحات لاستيك آببندي مقاوم در مقابل محيط اسيدي،بازي و روغن ضخامت 8</v>
      </c>
      <c r="F2103" s="3" t="str">
        <f>"کيلوگرم"</f>
        <v>کيلوگرم</v>
      </c>
      <c r="G2103" s="3">
        <v>150</v>
      </c>
      <c r="H2103" s="5">
        <v>72000000</v>
      </c>
    </row>
    <row r="2104" spans="1:8" ht="18.75" x14ac:dyDescent="0.2">
      <c r="A2104" s="3" t="str">
        <f t="shared" si="258"/>
        <v>98/11/26</v>
      </c>
      <c r="B2104" s="3" t="str">
        <f t="shared" si="259"/>
        <v>كالاهاي مصرفي</v>
      </c>
      <c r="C2104" s="3" t="str">
        <f t="shared" si="263"/>
        <v>انبار مصرفي ZU1</v>
      </c>
      <c r="D2104" s="3" t="str">
        <f>"0211001445"</f>
        <v>0211001445</v>
      </c>
      <c r="E2104" s="3" t="str">
        <f>"سركابل لاستيكي متوسط"</f>
        <v>سركابل لاستيكي متوسط</v>
      </c>
      <c r="F2104" s="3" t="str">
        <f>"عدد"</f>
        <v>عدد</v>
      </c>
      <c r="G2104" s="3">
        <v>400</v>
      </c>
      <c r="H2104" s="5">
        <v>72000000</v>
      </c>
    </row>
    <row r="2105" spans="1:8" ht="18.75" x14ac:dyDescent="0.2">
      <c r="A2105" s="3" t="str">
        <f t="shared" si="258"/>
        <v>98/11/26</v>
      </c>
      <c r="B2105" s="3" t="str">
        <f t="shared" si="259"/>
        <v>كالاهاي مصرفي</v>
      </c>
      <c r="C2105" s="3" t="str">
        <f t="shared" si="263"/>
        <v>انبار مصرفي ZU1</v>
      </c>
      <c r="D2105" s="3" t="str">
        <f>"0204001854"</f>
        <v>0204001854</v>
      </c>
      <c r="E2105" s="3" t="str">
        <f>"پكينگ آبندي فشاري 6*6 گرافيت خالص"</f>
        <v>پكينگ آبندي فشاري 6*6 گرافيت خالص</v>
      </c>
      <c r="F2105" s="3" t="str">
        <f>"کيلوگرم"</f>
        <v>کيلوگرم</v>
      </c>
      <c r="G2105" s="3">
        <v>50</v>
      </c>
      <c r="H2105" s="5">
        <v>72500000</v>
      </c>
    </row>
    <row r="2106" spans="1:8" ht="18.75" x14ac:dyDescent="0.2">
      <c r="A2106" s="3" t="str">
        <f t="shared" si="258"/>
        <v>98/11/26</v>
      </c>
      <c r="B2106" s="3" t="str">
        <f t="shared" si="259"/>
        <v>كالاهاي مصرفي</v>
      </c>
      <c r="C2106" s="3" t="str">
        <f t="shared" si="263"/>
        <v>انبار مصرفي ZU1</v>
      </c>
      <c r="D2106" s="3" t="str">
        <f>"0204001855"</f>
        <v>0204001855</v>
      </c>
      <c r="E2106" s="3" t="str">
        <f>"پكينگ آبندي فشاري 10*10 گرافيت خالص"</f>
        <v>پكينگ آبندي فشاري 10*10 گرافيت خالص</v>
      </c>
      <c r="F2106" s="3" t="str">
        <f>"کيلوگرم"</f>
        <v>کيلوگرم</v>
      </c>
      <c r="G2106" s="3">
        <v>50</v>
      </c>
      <c r="H2106" s="5">
        <v>72500000</v>
      </c>
    </row>
    <row r="2107" spans="1:8" ht="18.75" x14ac:dyDescent="0.2">
      <c r="A2107" s="3" t="str">
        <f t="shared" si="258"/>
        <v>98/11/26</v>
      </c>
      <c r="B2107" s="3" t="str">
        <f t="shared" si="259"/>
        <v>كالاهاي مصرفي</v>
      </c>
      <c r="C2107" s="3" t="str">
        <f t="shared" si="263"/>
        <v>انبار مصرفي ZU1</v>
      </c>
      <c r="D2107" s="3" t="str">
        <f>"0204001857"</f>
        <v>0204001857</v>
      </c>
      <c r="E2107" s="3" t="str">
        <f>"پكينگ آبندي فشاري 18*18 گرافيت خالص"</f>
        <v>پكينگ آبندي فشاري 18*18 گرافيت خالص</v>
      </c>
      <c r="F2107" s="3" t="str">
        <f>"کيلوگرم"</f>
        <v>کيلوگرم</v>
      </c>
      <c r="G2107" s="3">
        <v>50</v>
      </c>
      <c r="H2107" s="5">
        <v>72500000</v>
      </c>
    </row>
    <row r="2108" spans="1:8" ht="18.75" x14ac:dyDescent="0.2">
      <c r="A2108" s="3" t="str">
        <f t="shared" si="258"/>
        <v>98/11/26</v>
      </c>
      <c r="B2108" s="3" t="str">
        <f t="shared" si="259"/>
        <v>كالاهاي مصرفي</v>
      </c>
      <c r="C2108" s="3" t="str">
        <f t="shared" si="263"/>
        <v>انبار مصرفي ZU1</v>
      </c>
      <c r="D2108" s="3" t="str">
        <f>"0204000536"</f>
        <v>0204000536</v>
      </c>
      <c r="E2108" s="3" t="str">
        <f>"بيرينگ 5316"</f>
        <v>بيرينگ 5316</v>
      </c>
      <c r="F2108" s="3" t="str">
        <f>"عدد"</f>
        <v>عدد</v>
      </c>
      <c r="G2108" s="3">
        <v>12</v>
      </c>
      <c r="H2108" s="5">
        <v>73440000</v>
      </c>
    </row>
    <row r="2109" spans="1:8" ht="18.75" x14ac:dyDescent="0.2">
      <c r="A2109" s="3" t="str">
        <f t="shared" si="258"/>
        <v>98/11/26</v>
      </c>
      <c r="B2109" s="3" t="str">
        <f t="shared" si="259"/>
        <v>كالاهاي مصرفي</v>
      </c>
      <c r="C2109" s="3" t="str">
        <f t="shared" si="263"/>
        <v>انبار مصرفي ZU1</v>
      </c>
      <c r="D2109" s="3" t="str">
        <f>"0204001852"</f>
        <v>0204001852</v>
      </c>
      <c r="E2109" s="3" t="str">
        <f>"پكينگ آبندي فشاري 10* 10 تفلون خالص"</f>
        <v>پكينگ آبندي فشاري 10* 10 تفلون خالص</v>
      </c>
      <c r="F2109" s="3" t="str">
        <f>"کيلوگرم"</f>
        <v>کيلوگرم</v>
      </c>
      <c r="G2109" s="3">
        <v>40</v>
      </c>
      <c r="H2109" s="5">
        <v>73600000</v>
      </c>
    </row>
    <row r="2110" spans="1:8" ht="18.75" x14ac:dyDescent="0.2">
      <c r="A2110" s="3" t="str">
        <f t="shared" si="258"/>
        <v>98/11/26</v>
      </c>
      <c r="B2110" s="3" t="str">
        <f t="shared" si="259"/>
        <v>كالاهاي مصرفي</v>
      </c>
      <c r="C2110" s="3" t="str">
        <f t="shared" si="263"/>
        <v>انبار مصرفي ZU1</v>
      </c>
      <c r="D2110" s="3" t="str">
        <f>"0204001776"</f>
        <v>0204001776</v>
      </c>
      <c r="E2110" s="3" t="str">
        <f>"پكينگ آب بندي گرافيت مسلح  14* 14"</f>
        <v>پكينگ آب بندي گرافيت مسلح  14* 14</v>
      </c>
      <c r="F2110" s="3" t="str">
        <f>"کيلوگرم"</f>
        <v>کيلوگرم</v>
      </c>
      <c r="G2110" s="3">
        <v>45</v>
      </c>
      <c r="H2110" s="5">
        <v>74250000</v>
      </c>
    </row>
    <row r="2111" spans="1:8" ht="18.75" x14ac:dyDescent="0.2">
      <c r="A2111" s="3" t="str">
        <f t="shared" si="258"/>
        <v>98/11/26</v>
      </c>
      <c r="B2111" s="3" t="str">
        <f t="shared" si="259"/>
        <v>كالاهاي مصرفي</v>
      </c>
      <c r="C2111" s="3" t="str">
        <f t="shared" si="263"/>
        <v>انبار مصرفي ZU1</v>
      </c>
      <c r="D2111" s="3" t="str">
        <f>"0106000237"</f>
        <v>0106000237</v>
      </c>
      <c r="E2111" s="3" t="str">
        <f>"روغن TP-22C"</f>
        <v>روغن TP-22C</v>
      </c>
      <c r="F2111" s="3" t="str">
        <f>"عدد"</f>
        <v>عدد</v>
      </c>
      <c r="G2111" s="3">
        <v>5</v>
      </c>
      <c r="H2111" s="5">
        <v>75000000</v>
      </c>
    </row>
    <row r="2112" spans="1:8" ht="18.75" x14ac:dyDescent="0.2">
      <c r="A2112" s="3" t="str">
        <f t="shared" si="258"/>
        <v>98/11/26</v>
      </c>
      <c r="B2112" s="3" t="str">
        <f t="shared" si="259"/>
        <v>كالاهاي مصرفي</v>
      </c>
      <c r="C2112" s="3" t="str">
        <f>"انبار مركزي ( عمومي )"</f>
        <v>انبار مركزي ( عمومي )</v>
      </c>
      <c r="D2112" s="3" t="str">
        <f>"0206000856"</f>
        <v>0206000856</v>
      </c>
      <c r="E2112" s="3" t="str">
        <f>"بست كمربندي گالوانيزه 50 سانتي"</f>
        <v>بست كمربندي گالوانيزه 50 سانتي</v>
      </c>
      <c r="F2112" s="3" t="str">
        <f>"عدد"</f>
        <v>عدد</v>
      </c>
      <c r="G2112" s="3">
        <v>30</v>
      </c>
      <c r="H2112" s="5">
        <v>75000000</v>
      </c>
    </row>
    <row r="2113" spans="1:8" ht="18.75" x14ac:dyDescent="0.2">
      <c r="A2113" s="3" t="str">
        <f t="shared" si="258"/>
        <v>98/11/26</v>
      </c>
      <c r="B2113" s="3" t="str">
        <f t="shared" si="259"/>
        <v>كالاهاي مصرفي</v>
      </c>
      <c r="C2113" s="3" t="str">
        <f t="shared" ref="C2113:C2121" si="264">"انبار مصرفي ZU1"</f>
        <v>انبار مصرفي ZU1</v>
      </c>
      <c r="D2113" s="3" t="str">
        <f>"0209000267"</f>
        <v>0209000267</v>
      </c>
      <c r="E2113" s="3" t="str">
        <f>"لرزه گير  TL09 D  001 دستگاه تهويه"</f>
        <v>لرزه گير  TL09 D  001 دستگاه تهويه</v>
      </c>
      <c r="F2113" s="3" t="str">
        <f>"عدد"</f>
        <v>عدد</v>
      </c>
      <c r="G2113" s="3">
        <v>30</v>
      </c>
      <c r="H2113" s="5">
        <v>75000000</v>
      </c>
    </row>
    <row r="2114" spans="1:8" ht="18.75" x14ac:dyDescent="0.2">
      <c r="A2114" s="3" t="str">
        <f t="shared" ref="A2114:A2177" si="265">"98/11/26"</f>
        <v>98/11/26</v>
      </c>
      <c r="B2114" s="3" t="str">
        <f t="shared" ref="B2114:B2177" si="266">"كالاهاي مصرفي"</f>
        <v>كالاهاي مصرفي</v>
      </c>
      <c r="C2114" s="3" t="str">
        <f t="shared" si="264"/>
        <v>انبار مصرفي ZU1</v>
      </c>
      <c r="D2114" s="3" t="str">
        <f>"0211001606"</f>
        <v>0211001606</v>
      </c>
      <c r="E2114" s="3" t="str">
        <f>"سيم لحيم 45%  نقره 1.5mm"</f>
        <v>سيم لحيم 45%  نقره 1.5mm</v>
      </c>
      <c r="F2114" s="3" t="str">
        <f>"کيلوگرم"</f>
        <v>کيلوگرم</v>
      </c>
      <c r="G2114" s="3">
        <v>3</v>
      </c>
      <c r="H2114" s="5">
        <v>75000000</v>
      </c>
    </row>
    <row r="2115" spans="1:8" ht="18.75" x14ac:dyDescent="0.2">
      <c r="A2115" s="3" t="str">
        <f t="shared" si="265"/>
        <v>98/11/26</v>
      </c>
      <c r="B2115" s="3" t="str">
        <f t="shared" si="266"/>
        <v>كالاهاي مصرفي</v>
      </c>
      <c r="C2115" s="3" t="str">
        <f t="shared" si="264"/>
        <v>انبار مصرفي ZU1</v>
      </c>
      <c r="D2115" s="3" t="str">
        <f>"0211001758"</f>
        <v>0211001758</v>
      </c>
      <c r="E2115" s="3" t="str">
        <f>"شيم پليت ضخامت 2 به ابعاد 200 *200"</f>
        <v>شيم پليت ضخامت 2 به ابعاد 200 *200</v>
      </c>
      <c r="F2115" s="3" t="str">
        <f>"عدد"</f>
        <v>عدد</v>
      </c>
      <c r="G2115" s="3">
        <v>68</v>
      </c>
      <c r="H2115" s="5">
        <v>75140000</v>
      </c>
    </row>
    <row r="2116" spans="1:8" ht="18.75" x14ac:dyDescent="0.2">
      <c r="A2116" s="3" t="str">
        <f t="shared" si="265"/>
        <v>98/11/26</v>
      </c>
      <c r="B2116" s="3" t="str">
        <f t="shared" si="266"/>
        <v>كالاهاي مصرفي</v>
      </c>
      <c r="C2116" s="3" t="str">
        <f t="shared" si="264"/>
        <v>انبار مصرفي ZU1</v>
      </c>
      <c r="D2116" s="3" t="str">
        <f>"0215000001"</f>
        <v>0215000001</v>
      </c>
      <c r="E2116" s="3" t="str">
        <f>"المنت فيلتر ديزل"</f>
        <v>المنت فيلتر ديزل</v>
      </c>
      <c r="F2116" s="3" t="str">
        <f>"عدد"</f>
        <v>عدد</v>
      </c>
      <c r="G2116" s="3">
        <v>132</v>
      </c>
      <c r="H2116" s="5">
        <v>75610041</v>
      </c>
    </row>
    <row r="2117" spans="1:8" ht="18.75" x14ac:dyDescent="0.2">
      <c r="A2117" s="3" t="str">
        <f t="shared" si="265"/>
        <v>98/11/26</v>
      </c>
      <c r="B2117" s="3" t="str">
        <f t="shared" si="266"/>
        <v>كالاهاي مصرفي</v>
      </c>
      <c r="C2117" s="3" t="str">
        <f t="shared" si="264"/>
        <v>انبار مصرفي ZU1</v>
      </c>
      <c r="D2117" s="3" t="str">
        <f>"0303000294"</f>
        <v>0303000294</v>
      </c>
      <c r="E2117" s="3" t="str">
        <f>"مانومتر(3-(1-)) bar"</f>
        <v>مانومتر(3-(1-)) bar</v>
      </c>
      <c r="F2117" s="3" t="str">
        <f>"دستگاه"</f>
        <v>دستگاه</v>
      </c>
      <c r="G2117" s="3">
        <v>11</v>
      </c>
      <c r="H2117" s="5">
        <v>75900000</v>
      </c>
    </row>
    <row r="2118" spans="1:8" ht="18.75" x14ac:dyDescent="0.2">
      <c r="A2118" s="3" t="str">
        <f t="shared" si="265"/>
        <v>98/11/26</v>
      </c>
      <c r="B2118" s="3" t="str">
        <f t="shared" si="266"/>
        <v>كالاهاي مصرفي</v>
      </c>
      <c r="C2118" s="3" t="str">
        <f t="shared" si="264"/>
        <v>انبار مصرفي ZU1</v>
      </c>
      <c r="D2118" s="3" t="str">
        <f>"0215000164"</f>
        <v>0215000164</v>
      </c>
      <c r="E2118" s="3" t="str">
        <f>"فيلم محافظ فيلتر LFS-2-25"</f>
        <v>فيلم محافظ فيلتر LFS-2-25</v>
      </c>
      <c r="F2118" s="3" t="str">
        <f>"رول"</f>
        <v>رول</v>
      </c>
      <c r="G2118" s="3">
        <v>90</v>
      </c>
      <c r="H2118" s="5">
        <v>76199742</v>
      </c>
    </row>
    <row r="2119" spans="1:8" ht="18.75" x14ac:dyDescent="0.2">
      <c r="A2119" s="3" t="str">
        <f t="shared" si="265"/>
        <v>98/11/26</v>
      </c>
      <c r="B2119" s="3" t="str">
        <f t="shared" si="266"/>
        <v>كالاهاي مصرفي</v>
      </c>
      <c r="C2119" s="3" t="str">
        <f t="shared" si="264"/>
        <v>انبار مصرفي ZU1</v>
      </c>
      <c r="D2119" s="3" t="str">
        <f>"0204001011"</f>
        <v>0204001011</v>
      </c>
      <c r="E2119" s="3" t="str">
        <f>"بيرينگ 6228"</f>
        <v>بيرينگ 6228</v>
      </c>
      <c r="F2119" s="3" t="str">
        <f>"عدد"</f>
        <v>عدد</v>
      </c>
      <c r="G2119" s="3">
        <v>10</v>
      </c>
      <c r="H2119" s="5">
        <v>76250000</v>
      </c>
    </row>
    <row r="2120" spans="1:8" ht="18.75" x14ac:dyDescent="0.2">
      <c r="A2120" s="3" t="str">
        <f t="shared" si="265"/>
        <v>98/11/26</v>
      </c>
      <c r="B2120" s="3" t="str">
        <f t="shared" si="266"/>
        <v>كالاهاي مصرفي</v>
      </c>
      <c r="C2120" s="3" t="str">
        <f t="shared" si="264"/>
        <v>انبار مصرفي ZU1</v>
      </c>
      <c r="D2120" s="3" t="str">
        <f>"0204000261"</f>
        <v>0204000261</v>
      </c>
      <c r="E2120" s="3" t="str">
        <f>"پكينگ آبندي فشاري 8 *8 گرافيت خالص"</f>
        <v>پكينگ آبندي فشاري 8 *8 گرافيت خالص</v>
      </c>
      <c r="F2120" s="3" t="str">
        <f>"کيلوگرم"</f>
        <v>کيلوگرم</v>
      </c>
      <c r="G2120" s="3">
        <v>50</v>
      </c>
      <c r="H2120" s="5">
        <v>76500000</v>
      </c>
    </row>
    <row r="2121" spans="1:8" ht="18.75" x14ac:dyDescent="0.2">
      <c r="A2121" s="3" t="str">
        <f t="shared" si="265"/>
        <v>98/11/26</v>
      </c>
      <c r="B2121" s="3" t="str">
        <f t="shared" si="266"/>
        <v>كالاهاي مصرفي</v>
      </c>
      <c r="C2121" s="3" t="str">
        <f t="shared" si="264"/>
        <v>انبار مصرفي ZU1</v>
      </c>
      <c r="D2121" s="3" t="str">
        <f>"0204002220"</f>
        <v>0204002220</v>
      </c>
      <c r="E2121" s="3" t="str">
        <f>"پوسته بيرينگ SN612"</f>
        <v>پوسته بيرينگ SN612</v>
      </c>
      <c r="F2121" s="3" t="str">
        <f>"عدد"</f>
        <v>عدد</v>
      </c>
      <c r="G2121" s="3">
        <v>9</v>
      </c>
      <c r="H2121" s="5">
        <v>76500000</v>
      </c>
    </row>
    <row r="2122" spans="1:8" ht="18.75" x14ac:dyDescent="0.2">
      <c r="A2122" s="3" t="str">
        <f t="shared" si="265"/>
        <v>98/11/26</v>
      </c>
      <c r="B2122" s="3" t="str">
        <f t="shared" si="266"/>
        <v>كالاهاي مصرفي</v>
      </c>
      <c r="C2122" s="3" t="str">
        <f>"انبار مركزي ( عمومي )"</f>
        <v>انبار مركزي ( عمومي )</v>
      </c>
      <c r="D2122" s="3" t="str">
        <f>"0212000021"</f>
        <v>0212000021</v>
      </c>
      <c r="E2122" s="3" t="str">
        <f>"ورق تكستوليت 1mm"</f>
        <v>ورق تكستوليت 1mm</v>
      </c>
      <c r="F2122" s="3" t="str">
        <f>"کيلوگرم"</f>
        <v>کيلوگرم</v>
      </c>
      <c r="G2122" s="3">
        <v>15</v>
      </c>
      <c r="H2122" s="5">
        <v>76800000</v>
      </c>
    </row>
    <row r="2123" spans="1:8" ht="18.75" x14ac:dyDescent="0.2">
      <c r="A2123" s="3" t="str">
        <f t="shared" si="265"/>
        <v>98/11/26</v>
      </c>
      <c r="B2123" s="3" t="str">
        <f t="shared" si="266"/>
        <v>كالاهاي مصرفي</v>
      </c>
      <c r="C2123" s="3" t="str">
        <f>"انبار مصرفي ZU1"</f>
        <v>انبار مصرفي ZU1</v>
      </c>
      <c r="D2123" s="3" t="str">
        <f>"0204000257"</f>
        <v>0204000257</v>
      </c>
      <c r="E2123" s="3" t="str">
        <f>"پكينگ آبندي فشاري 20*20 شير تفلون آزبستي"</f>
        <v>پكينگ آبندي فشاري 20*20 شير تفلون آزبستي</v>
      </c>
      <c r="F2123" s="3" t="str">
        <f>"کيلوگرم"</f>
        <v>کيلوگرم</v>
      </c>
      <c r="G2123" s="3">
        <v>64.239999999999995</v>
      </c>
      <c r="H2123" s="5">
        <v>77088000</v>
      </c>
    </row>
    <row r="2124" spans="1:8" ht="18.75" x14ac:dyDescent="0.2">
      <c r="A2124" s="3" t="str">
        <f t="shared" si="265"/>
        <v>98/11/26</v>
      </c>
      <c r="B2124" s="3" t="str">
        <f t="shared" si="266"/>
        <v>كالاهاي مصرفي</v>
      </c>
      <c r="C2124" s="3" t="str">
        <f>"انبار مصرفي ZU1"</f>
        <v>انبار مصرفي ZU1</v>
      </c>
      <c r="D2124" s="3" t="str">
        <f>"0204000255"</f>
        <v>0204000255</v>
      </c>
      <c r="E2124" s="3" t="str">
        <f>"پكينگ آبندي فشاري 10 *10 شير تفلون آزبستي"</f>
        <v>پكينگ آبندي فشاري 10 *10 شير تفلون آزبستي</v>
      </c>
      <c r="F2124" s="3" t="str">
        <f>"کيلوگرم"</f>
        <v>کيلوگرم</v>
      </c>
      <c r="G2124" s="3">
        <v>66.14</v>
      </c>
      <c r="H2124" s="5">
        <v>78000000</v>
      </c>
    </row>
    <row r="2125" spans="1:8" ht="18.75" x14ac:dyDescent="0.2">
      <c r="A2125" s="3" t="str">
        <f t="shared" si="265"/>
        <v>98/11/26</v>
      </c>
      <c r="B2125" s="3" t="str">
        <f t="shared" si="266"/>
        <v>كالاهاي مصرفي</v>
      </c>
      <c r="C2125" s="3" t="str">
        <f>"انبار مركزي ( عمومي )"</f>
        <v>انبار مركزي ( عمومي )</v>
      </c>
      <c r="D2125" s="3" t="str">
        <f>"0209000386"</f>
        <v>0209000386</v>
      </c>
      <c r="E2125" s="3" t="str">
        <f>"سنسور فشار IFM"</f>
        <v>سنسور فشار IFM</v>
      </c>
      <c r="F2125" s="3" t="str">
        <f>"عدد"</f>
        <v>عدد</v>
      </c>
      <c r="G2125" s="3">
        <v>3</v>
      </c>
      <c r="H2125" s="5">
        <v>78000000</v>
      </c>
    </row>
    <row r="2126" spans="1:8" ht="18.75" x14ac:dyDescent="0.2">
      <c r="A2126" s="3" t="str">
        <f t="shared" si="265"/>
        <v>98/11/26</v>
      </c>
      <c r="B2126" s="3" t="str">
        <f t="shared" si="266"/>
        <v>كالاهاي مصرفي</v>
      </c>
      <c r="C2126" s="3" t="str">
        <f>"انبار مصرفي ZU1"</f>
        <v>انبار مصرفي ZU1</v>
      </c>
      <c r="D2126" s="3" t="str">
        <f>"0106000138"</f>
        <v>0106000138</v>
      </c>
      <c r="E2126" s="3" t="str">
        <f>"روغن 154- BP Energol بشكه 208 ليتري"</f>
        <v>روغن 154- BP Energol بشكه 208 ليتري</v>
      </c>
      <c r="F2126" s="3" t="str">
        <f>"بشكه"</f>
        <v>بشكه</v>
      </c>
      <c r="G2126" s="3">
        <v>5</v>
      </c>
      <c r="H2126" s="5">
        <v>78650000</v>
      </c>
    </row>
    <row r="2127" spans="1:8" ht="18.75" x14ac:dyDescent="0.2">
      <c r="A2127" s="3" t="str">
        <f t="shared" si="265"/>
        <v>98/11/26</v>
      </c>
      <c r="B2127" s="3" t="str">
        <f t="shared" si="266"/>
        <v>كالاهاي مصرفي</v>
      </c>
      <c r="C2127" s="3" t="str">
        <f>"انبار مصرفي ZU1"</f>
        <v>انبار مصرفي ZU1</v>
      </c>
      <c r="D2127" s="3" t="str">
        <f>"0204000809"</f>
        <v>0204000809</v>
      </c>
      <c r="E2127" s="3" t="str">
        <f>"بيرينگ  22324CC W/33"</f>
        <v>بيرينگ  22324CC W/33</v>
      </c>
      <c r="F2127" s="3" t="str">
        <f>"عدد"</f>
        <v>عدد</v>
      </c>
      <c r="G2127" s="3">
        <v>5</v>
      </c>
      <c r="H2127" s="5">
        <v>80000000</v>
      </c>
    </row>
    <row r="2128" spans="1:8" ht="18.75" x14ac:dyDescent="0.2">
      <c r="A2128" s="3" t="str">
        <f t="shared" si="265"/>
        <v>98/11/26</v>
      </c>
      <c r="B2128" s="3" t="str">
        <f t="shared" si="266"/>
        <v>كالاهاي مصرفي</v>
      </c>
      <c r="C2128" s="3" t="str">
        <f>"انبار مركزي ( عمومي )"</f>
        <v>انبار مركزي ( عمومي )</v>
      </c>
      <c r="D2128" s="3" t="str">
        <f>"0204002414"</f>
        <v>0204002414</v>
      </c>
      <c r="E2128" s="3" t="str">
        <f>"پوسته بيرينگ SNL528"</f>
        <v>پوسته بيرينگ SNL528</v>
      </c>
      <c r="F2128" s="3" t="str">
        <f>"عدد"</f>
        <v>عدد</v>
      </c>
      <c r="G2128" s="3">
        <v>2</v>
      </c>
      <c r="H2128" s="5">
        <v>80000000</v>
      </c>
    </row>
    <row r="2129" spans="1:8" ht="18.75" x14ac:dyDescent="0.2">
      <c r="A2129" s="3" t="str">
        <f t="shared" si="265"/>
        <v>98/11/26</v>
      </c>
      <c r="B2129" s="3" t="str">
        <f t="shared" si="266"/>
        <v>كالاهاي مصرفي</v>
      </c>
      <c r="C2129" s="3" t="str">
        <f>"انبار مصرفي ZU1"</f>
        <v>انبار مصرفي ZU1</v>
      </c>
      <c r="D2129" s="3" t="str">
        <f>"0204001152"</f>
        <v>0204001152</v>
      </c>
      <c r="E2129" s="3" t="str">
        <f>"گسکت مقاوم به اسيد و باز ضخامت 3 ميليمتر"</f>
        <v>گسکت مقاوم به اسيد و باز ضخامت 3 ميليمتر</v>
      </c>
      <c r="F2129" s="3" t="str">
        <f>"متر مربع"</f>
        <v>متر مربع</v>
      </c>
      <c r="G2129" s="3">
        <v>22.5</v>
      </c>
      <c r="H2129" s="5">
        <v>80100000</v>
      </c>
    </row>
    <row r="2130" spans="1:8" ht="18.75" x14ac:dyDescent="0.2">
      <c r="A2130" s="3" t="str">
        <f t="shared" si="265"/>
        <v>98/11/26</v>
      </c>
      <c r="B2130" s="3" t="str">
        <f t="shared" si="266"/>
        <v>كالاهاي مصرفي</v>
      </c>
      <c r="C2130" s="3" t="str">
        <f>"انبار مصرفي ZU1"</f>
        <v>انبار مصرفي ZU1</v>
      </c>
      <c r="D2130" s="3" t="str">
        <f>"0105000158"</f>
        <v>0105000158</v>
      </c>
      <c r="E2130" s="3" t="str">
        <f>"چسب مزدا قرمز"</f>
        <v>چسب مزدا قرمز</v>
      </c>
      <c r="F2130" s="3" t="str">
        <f>"عدد"</f>
        <v>عدد</v>
      </c>
      <c r="G2130" s="3">
        <v>200</v>
      </c>
      <c r="H2130" s="5">
        <v>80340000</v>
      </c>
    </row>
    <row r="2131" spans="1:8" ht="18.75" x14ac:dyDescent="0.2">
      <c r="A2131" s="3" t="str">
        <f t="shared" si="265"/>
        <v>98/11/26</v>
      </c>
      <c r="B2131" s="3" t="str">
        <f t="shared" si="266"/>
        <v>كالاهاي مصرفي</v>
      </c>
      <c r="C2131" s="3" t="str">
        <f>"انبار مصرفي ZU1"</f>
        <v>انبار مصرفي ZU1</v>
      </c>
      <c r="D2131" s="3" t="str">
        <f>"0204001146"</f>
        <v>0204001146</v>
      </c>
      <c r="E2131" s="3" t="str">
        <f>"گسکت گرافيتي ضخامت 3 ميليمتر"</f>
        <v>گسکت گرافيتي ضخامت 3 ميليمتر</v>
      </c>
      <c r="F2131" s="3" t="str">
        <f>"متر مربع"</f>
        <v>متر مربع</v>
      </c>
      <c r="G2131" s="3">
        <v>26.6</v>
      </c>
      <c r="H2131" s="5">
        <v>81263000</v>
      </c>
    </row>
    <row r="2132" spans="1:8" ht="18.75" x14ac:dyDescent="0.2">
      <c r="A2132" s="3" t="str">
        <f t="shared" si="265"/>
        <v>98/11/26</v>
      </c>
      <c r="B2132" s="3" t="str">
        <f t="shared" si="266"/>
        <v>كالاهاي مصرفي</v>
      </c>
      <c r="C2132" s="3" t="str">
        <f>"انبار مصرفي ZU1"</f>
        <v>انبار مصرفي ZU1</v>
      </c>
      <c r="D2132" s="3" t="str">
        <f>"0601000073"</f>
        <v>0601000073</v>
      </c>
      <c r="E2132" s="3" t="str">
        <f>"دستكش عايق برق  5kv"</f>
        <v>دستكش عايق برق  5kv</v>
      </c>
      <c r="F2132" s="3" t="str">
        <f>"جفت"</f>
        <v>جفت</v>
      </c>
      <c r="G2132" s="3">
        <v>68</v>
      </c>
      <c r="H2132" s="5">
        <v>81600000</v>
      </c>
    </row>
    <row r="2133" spans="1:8" ht="18.75" x14ac:dyDescent="0.2">
      <c r="A2133" s="3" t="str">
        <f t="shared" si="265"/>
        <v>98/11/26</v>
      </c>
      <c r="B2133" s="3" t="str">
        <f t="shared" si="266"/>
        <v>كالاهاي مصرفي</v>
      </c>
      <c r="C2133" s="3" t="str">
        <f>"انبار مصرفي ZU1"</f>
        <v>انبار مصرفي ZU1</v>
      </c>
      <c r="D2133" s="3" t="str">
        <f>"0209000114"</f>
        <v>0209000114</v>
      </c>
      <c r="E2133" s="3" t="str">
        <f>"بوش پكينگ"</f>
        <v>بوش پكينگ</v>
      </c>
      <c r="F2133" s="3" t="str">
        <f>"عدد"</f>
        <v>عدد</v>
      </c>
      <c r="G2133" s="3">
        <v>6</v>
      </c>
      <c r="H2133" s="5">
        <v>81714285</v>
      </c>
    </row>
    <row r="2134" spans="1:8" ht="18.75" x14ac:dyDescent="0.2">
      <c r="A2134" s="3" t="str">
        <f t="shared" si="265"/>
        <v>98/11/26</v>
      </c>
      <c r="B2134" s="3" t="str">
        <f t="shared" si="266"/>
        <v>كالاهاي مصرفي</v>
      </c>
      <c r="C2134" s="3" t="str">
        <f>"انبار مركزي ( عمومي )"</f>
        <v>انبار مركزي ( عمومي )</v>
      </c>
      <c r="D2134" s="3" t="str">
        <f>"0213000273"</f>
        <v>0213000273</v>
      </c>
      <c r="E2134" s="3" t="str">
        <f>"صفحه برس تخت بافته استيل  ميني سنگ"</f>
        <v>صفحه برس تخت بافته استيل  ميني سنگ</v>
      </c>
      <c r="F2134" s="3" t="str">
        <f>"عدد"</f>
        <v>عدد</v>
      </c>
      <c r="G2134" s="3">
        <v>390</v>
      </c>
      <c r="H2134" s="5">
        <v>81900000</v>
      </c>
    </row>
    <row r="2135" spans="1:8" ht="18.75" x14ac:dyDescent="0.2">
      <c r="A2135" s="3" t="str">
        <f t="shared" si="265"/>
        <v>98/11/26</v>
      </c>
      <c r="B2135" s="3" t="str">
        <f t="shared" si="266"/>
        <v>كالاهاي مصرفي</v>
      </c>
      <c r="C2135" s="3" t="str">
        <f t="shared" ref="C2135:C2147" si="267">"انبار مصرفي ZU1"</f>
        <v>انبار مصرفي ZU1</v>
      </c>
      <c r="D2135" s="3" t="str">
        <f>"0211002198"</f>
        <v>0211002198</v>
      </c>
      <c r="E2135" s="3" t="str">
        <f>"مكانيكال سيل H75F1/4500B AQ1EGG1 BURGMANN"</f>
        <v>مكانيكال سيل H75F1/4500B AQ1EGG1 BURGMANN</v>
      </c>
      <c r="F2135" s="3" t="str">
        <f>"عدد"</f>
        <v>عدد</v>
      </c>
      <c r="G2135" s="3">
        <v>2</v>
      </c>
      <c r="H2135" s="5">
        <v>82000000</v>
      </c>
    </row>
    <row r="2136" spans="1:8" ht="18.75" x14ac:dyDescent="0.2">
      <c r="A2136" s="3" t="str">
        <f t="shared" si="265"/>
        <v>98/11/26</v>
      </c>
      <c r="B2136" s="3" t="str">
        <f t="shared" si="266"/>
        <v>كالاهاي مصرفي</v>
      </c>
      <c r="C2136" s="3" t="str">
        <f t="shared" si="267"/>
        <v>انبار مصرفي ZU1</v>
      </c>
      <c r="D2136" s="3" t="str">
        <f>"0102000167"</f>
        <v>0102000167</v>
      </c>
      <c r="E2136" s="3" t="str">
        <f>"محلول غليظ كننده رنگ EP"</f>
        <v>محلول غليظ كننده رنگ EP</v>
      </c>
      <c r="F2136" s="3" t="str">
        <f>"کيلوگرم"</f>
        <v>کيلوگرم</v>
      </c>
      <c r="G2136" s="3">
        <v>50</v>
      </c>
      <c r="H2136" s="5">
        <v>82500000</v>
      </c>
    </row>
    <row r="2137" spans="1:8" ht="18.75" x14ac:dyDescent="0.2">
      <c r="A2137" s="3" t="str">
        <f t="shared" si="265"/>
        <v>98/11/26</v>
      </c>
      <c r="B2137" s="3" t="str">
        <f t="shared" si="266"/>
        <v>كالاهاي مصرفي</v>
      </c>
      <c r="C2137" s="3" t="str">
        <f t="shared" si="267"/>
        <v>انبار مصرفي ZU1</v>
      </c>
      <c r="D2137" s="3" t="str">
        <f>"0204001772"</f>
        <v>0204001772</v>
      </c>
      <c r="E2137" s="3" t="str">
        <f>"پكينگ آب بندي گرافيت مسلح  6* 6"</f>
        <v>پكينگ آب بندي گرافيت مسلح  6* 6</v>
      </c>
      <c r="F2137" s="3" t="str">
        <f>"کيلوگرم"</f>
        <v>کيلوگرم</v>
      </c>
      <c r="G2137" s="3">
        <v>50</v>
      </c>
      <c r="H2137" s="5">
        <v>82500000</v>
      </c>
    </row>
    <row r="2138" spans="1:8" ht="18.75" x14ac:dyDescent="0.2">
      <c r="A2138" s="3" t="str">
        <f t="shared" si="265"/>
        <v>98/11/26</v>
      </c>
      <c r="B2138" s="3" t="str">
        <f t="shared" si="266"/>
        <v>كالاهاي مصرفي</v>
      </c>
      <c r="C2138" s="3" t="str">
        <f t="shared" si="267"/>
        <v>انبار مصرفي ZU1</v>
      </c>
      <c r="D2138" s="3" t="str">
        <f>"0204001779"</f>
        <v>0204001779</v>
      </c>
      <c r="E2138" s="3" t="str">
        <f>"پكينگ آب بندي گرافيت مسلح  20* 20"</f>
        <v>پكينگ آب بندي گرافيت مسلح  20* 20</v>
      </c>
      <c r="F2138" s="3" t="str">
        <f>"کيلوگرم"</f>
        <v>کيلوگرم</v>
      </c>
      <c r="G2138" s="3">
        <v>50</v>
      </c>
      <c r="H2138" s="5">
        <v>82500000</v>
      </c>
    </row>
    <row r="2139" spans="1:8" ht="18.75" x14ac:dyDescent="0.2">
      <c r="A2139" s="3" t="str">
        <f t="shared" si="265"/>
        <v>98/11/26</v>
      </c>
      <c r="B2139" s="3" t="str">
        <f t="shared" si="266"/>
        <v>كالاهاي مصرفي</v>
      </c>
      <c r="C2139" s="3" t="str">
        <f t="shared" si="267"/>
        <v>انبار مصرفي ZU1</v>
      </c>
      <c r="D2139" s="3" t="str">
        <f>"0215000081"</f>
        <v>0215000081</v>
      </c>
      <c r="E2139" s="3" t="str">
        <f>"فيلتر  كيسه اي 600 *287 *592  -G4"</f>
        <v>فيلتر  كيسه اي 600 *287 *592  -G4</v>
      </c>
      <c r="F2139" s="3" t="str">
        <f>"عدد"</f>
        <v>عدد</v>
      </c>
      <c r="G2139" s="3">
        <v>110</v>
      </c>
      <c r="H2139" s="5">
        <v>82760000</v>
      </c>
    </row>
    <row r="2140" spans="1:8" ht="18.75" x14ac:dyDescent="0.2">
      <c r="A2140" s="3" t="str">
        <f t="shared" si="265"/>
        <v>98/11/26</v>
      </c>
      <c r="B2140" s="3" t="str">
        <f t="shared" si="266"/>
        <v>كالاهاي مصرفي</v>
      </c>
      <c r="C2140" s="3" t="str">
        <f t="shared" si="267"/>
        <v>انبار مصرفي ZU1</v>
      </c>
      <c r="D2140" s="3" t="str">
        <f>"0204000244"</f>
        <v>0204000244</v>
      </c>
      <c r="E2140" s="3" t="str">
        <f>"پكينگ آبندي فشاري 16* 16تفلون خالص"</f>
        <v>پكينگ آبندي فشاري 16* 16تفلون خالص</v>
      </c>
      <c r="F2140" s="3" t="str">
        <f>"کيلوگرم"</f>
        <v>کيلوگرم</v>
      </c>
      <c r="G2140" s="3">
        <v>45</v>
      </c>
      <c r="H2140" s="5">
        <v>82800000</v>
      </c>
    </row>
    <row r="2141" spans="1:8" ht="18.75" x14ac:dyDescent="0.2">
      <c r="A2141" s="3" t="str">
        <f t="shared" si="265"/>
        <v>98/11/26</v>
      </c>
      <c r="B2141" s="3" t="str">
        <f t="shared" si="266"/>
        <v>كالاهاي مصرفي</v>
      </c>
      <c r="C2141" s="3" t="str">
        <f t="shared" si="267"/>
        <v>انبار مصرفي ZU1</v>
      </c>
      <c r="D2141" s="3" t="str">
        <f>"0204001851"</f>
        <v>0204001851</v>
      </c>
      <c r="E2141" s="3" t="str">
        <f>"پكينگ آبندي فشاري 6* 6 تفلون خالص"</f>
        <v>پكينگ آبندي فشاري 6* 6 تفلون خالص</v>
      </c>
      <c r="F2141" s="3" t="str">
        <f>"کيلوگرم"</f>
        <v>کيلوگرم</v>
      </c>
      <c r="G2141" s="3">
        <v>45</v>
      </c>
      <c r="H2141" s="5">
        <v>82800000</v>
      </c>
    </row>
    <row r="2142" spans="1:8" ht="18.75" x14ac:dyDescent="0.2">
      <c r="A2142" s="3" t="str">
        <f t="shared" si="265"/>
        <v>98/11/26</v>
      </c>
      <c r="B2142" s="3" t="str">
        <f t="shared" si="266"/>
        <v>كالاهاي مصرفي</v>
      </c>
      <c r="C2142" s="3" t="str">
        <f t="shared" si="267"/>
        <v>انبار مصرفي ZU1</v>
      </c>
      <c r="D2142" s="3" t="str">
        <f>"0204001853"</f>
        <v>0204001853</v>
      </c>
      <c r="E2142" s="3" t="str">
        <f>"پكينگ آبندي فشاري 14*14 تفلون خالص"</f>
        <v>پكينگ آبندي فشاري 14*14 تفلون خالص</v>
      </c>
      <c r="F2142" s="3" t="str">
        <f>"کيلوگرم"</f>
        <v>کيلوگرم</v>
      </c>
      <c r="G2142" s="3">
        <v>45</v>
      </c>
      <c r="H2142" s="5">
        <v>82800000</v>
      </c>
    </row>
    <row r="2143" spans="1:8" ht="18.75" x14ac:dyDescent="0.2">
      <c r="A2143" s="3" t="str">
        <f t="shared" si="265"/>
        <v>98/11/26</v>
      </c>
      <c r="B2143" s="3" t="str">
        <f t="shared" si="266"/>
        <v>كالاهاي مصرفي</v>
      </c>
      <c r="C2143" s="3" t="str">
        <f t="shared" si="267"/>
        <v>انبار مصرفي ZU1</v>
      </c>
      <c r="D2143" s="3" t="str">
        <f>"0204001795"</f>
        <v>0204001795</v>
      </c>
      <c r="E2143" s="3" t="str">
        <f>"بيرينگ 7318 BECBM"</f>
        <v>بيرينگ 7318 BECBM</v>
      </c>
      <c r="F2143" s="3" t="str">
        <f>"عدد"</f>
        <v>عدد</v>
      </c>
      <c r="G2143" s="3">
        <v>4</v>
      </c>
      <c r="H2143" s="5">
        <v>83000000</v>
      </c>
    </row>
    <row r="2144" spans="1:8" ht="18.75" x14ac:dyDescent="0.2">
      <c r="A2144" s="3" t="str">
        <f t="shared" si="265"/>
        <v>98/11/26</v>
      </c>
      <c r="B2144" s="3" t="str">
        <f t="shared" si="266"/>
        <v>كالاهاي مصرفي</v>
      </c>
      <c r="C2144" s="3" t="str">
        <f t="shared" si="267"/>
        <v>انبار مصرفي ZU1</v>
      </c>
      <c r="D2144" s="3" t="str">
        <f>"0106000221"</f>
        <v>0106000221</v>
      </c>
      <c r="E2144" s="3" t="str">
        <f>"گريس پايه كربن"</f>
        <v>گريس پايه كربن</v>
      </c>
      <c r="F2144" s="3" t="str">
        <f>"کيلوگرم"</f>
        <v>کيلوگرم</v>
      </c>
      <c r="G2144" s="3">
        <v>6</v>
      </c>
      <c r="H2144" s="5">
        <v>84000000</v>
      </c>
    </row>
    <row r="2145" spans="1:8" ht="18.75" x14ac:dyDescent="0.2">
      <c r="A2145" s="3" t="str">
        <f t="shared" si="265"/>
        <v>98/11/26</v>
      </c>
      <c r="B2145" s="3" t="str">
        <f t="shared" si="266"/>
        <v>كالاهاي مصرفي</v>
      </c>
      <c r="C2145" s="3" t="str">
        <f t="shared" si="267"/>
        <v>انبار مصرفي ZU1</v>
      </c>
      <c r="D2145" s="3" t="str">
        <f>"0209000320"</f>
        <v>0209000320</v>
      </c>
      <c r="E2145" s="3" t="str">
        <f>"ترنسميتر اندازه گيري اختلاف فشار differential pressure transmitter"</f>
        <v>ترنسميتر اندازه گيري اختلاف فشار differential pressure transmitter</v>
      </c>
      <c r="F2145" s="3" t="str">
        <f>"عدد"</f>
        <v>عدد</v>
      </c>
      <c r="G2145" s="3">
        <v>1</v>
      </c>
      <c r="H2145" s="5">
        <v>84000000</v>
      </c>
    </row>
    <row r="2146" spans="1:8" ht="18.75" x14ac:dyDescent="0.2">
      <c r="A2146" s="3" t="str">
        <f t="shared" si="265"/>
        <v>98/11/26</v>
      </c>
      <c r="B2146" s="3" t="str">
        <f t="shared" si="266"/>
        <v>كالاهاي مصرفي</v>
      </c>
      <c r="C2146" s="3" t="str">
        <f t="shared" si="267"/>
        <v>انبار مصرفي ZU1</v>
      </c>
      <c r="D2146" s="3" t="str">
        <f>"0204000481"</f>
        <v>0204000481</v>
      </c>
      <c r="E2146" s="3" t="str">
        <f>"گسكت(واشرابندي) مسلح گرافيتي - ضخامت 4 ميليمتر"</f>
        <v>گسكت(واشرابندي) مسلح گرافيتي - ضخامت 4 ميليمتر</v>
      </c>
      <c r="F2146" s="3" t="str">
        <f>"متر مربع"</f>
        <v>متر مربع</v>
      </c>
      <c r="G2146" s="3">
        <v>30.5</v>
      </c>
      <c r="H2146" s="5">
        <v>84854952</v>
      </c>
    </row>
    <row r="2147" spans="1:8" ht="18.75" x14ac:dyDescent="0.2">
      <c r="A2147" s="3" t="str">
        <f t="shared" si="265"/>
        <v>98/11/26</v>
      </c>
      <c r="B2147" s="3" t="str">
        <f t="shared" si="266"/>
        <v>كالاهاي مصرفي</v>
      </c>
      <c r="C2147" s="3" t="str">
        <f t="shared" si="267"/>
        <v>انبار مصرفي ZU1</v>
      </c>
      <c r="D2147" s="3" t="str">
        <f>"0204001115"</f>
        <v>0204001115</v>
      </c>
      <c r="E2147" s="3" t="str">
        <f>"بيرينگ NU224 ECJ/C3"</f>
        <v>بيرينگ NU224 ECJ/C3</v>
      </c>
      <c r="F2147" s="3" t="str">
        <f>"عدد"</f>
        <v>عدد</v>
      </c>
      <c r="G2147" s="3">
        <v>2</v>
      </c>
      <c r="H2147" s="5">
        <v>85000000</v>
      </c>
    </row>
    <row r="2148" spans="1:8" ht="18.75" x14ac:dyDescent="0.2">
      <c r="A2148" s="3" t="str">
        <f t="shared" si="265"/>
        <v>98/11/26</v>
      </c>
      <c r="B2148" s="3" t="str">
        <f t="shared" si="266"/>
        <v>كالاهاي مصرفي</v>
      </c>
      <c r="C2148" s="3" t="str">
        <f>"انبار مركزي ( عمومي )"</f>
        <v>انبار مركزي ( عمومي )</v>
      </c>
      <c r="D2148" s="3" t="str">
        <f>"0601000075"</f>
        <v>0601000075</v>
      </c>
      <c r="E2148" s="3" t="str">
        <f>"دستكش ضد اسيد"</f>
        <v>دستكش ضد اسيد</v>
      </c>
      <c r="F2148" s="3" t="str">
        <f>"جفت"</f>
        <v>جفت</v>
      </c>
      <c r="G2148" s="3">
        <v>717</v>
      </c>
      <c r="H2148" s="5">
        <v>85043155</v>
      </c>
    </row>
    <row r="2149" spans="1:8" ht="18.75" x14ac:dyDescent="0.2">
      <c r="A2149" s="3" t="str">
        <f t="shared" si="265"/>
        <v>98/11/26</v>
      </c>
      <c r="B2149" s="3" t="str">
        <f t="shared" si="266"/>
        <v>كالاهاي مصرفي</v>
      </c>
      <c r="C2149" s="3" t="str">
        <f t="shared" ref="C2149:C2180" si="268">"انبار مصرفي ZU1"</f>
        <v>انبار مصرفي ZU1</v>
      </c>
      <c r="D2149" s="3" t="str">
        <f>"0204002339"</f>
        <v>0204002339</v>
      </c>
      <c r="E2149" s="3" t="str">
        <f>"اورينگ 325*4 Neoperene"</f>
        <v>اورينگ 325*4 Neoperene</v>
      </c>
      <c r="F2149" s="3" t="str">
        <f>"عدد"</f>
        <v>عدد</v>
      </c>
      <c r="G2149" s="3">
        <v>8</v>
      </c>
      <c r="H2149" s="5">
        <v>85500000</v>
      </c>
    </row>
    <row r="2150" spans="1:8" ht="18.75" x14ac:dyDescent="0.2">
      <c r="A2150" s="3" t="str">
        <f t="shared" si="265"/>
        <v>98/11/26</v>
      </c>
      <c r="B2150" s="3" t="str">
        <f t="shared" si="266"/>
        <v>كالاهاي مصرفي</v>
      </c>
      <c r="C2150" s="3" t="str">
        <f t="shared" si="268"/>
        <v>انبار مصرفي ZU1</v>
      </c>
      <c r="D2150" s="3" t="str">
        <f>"0213000437"</f>
        <v>0213000437</v>
      </c>
      <c r="E2150" s="3" t="str">
        <f>"پيچ گوشواره اي M36*6"</f>
        <v>پيچ گوشواره اي M36*6</v>
      </c>
      <c r="F2150" s="3" t="str">
        <f>"عدد"</f>
        <v>عدد</v>
      </c>
      <c r="G2150" s="3">
        <v>77</v>
      </c>
      <c r="H2150" s="5">
        <v>85780567</v>
      </c>
    </row>
    <row r="2151" spans="1:8" ht="18.75" x14ac:dyDescent="0.2">
      <c r="A2151" s="3" t="str">
        <f t="shared" si="265"/>
        <v>98/11/26</v>
      </c>
      <c r="B2151" s="3" t="str">
        <f t="shared" si="266"/>
        <v>كالاهاي مصرفي</v>
      </c>
      <c r="C2151" s="3" t="str">
        <f t="shared" si="268"/>
        <v>انبار مصرفي ZU1</v>
      </c>
      <c r="D2151" s="3" t="str">
        <f>"0209000223"</f>
        <v>0209000223</v>
      </c>
      <c r="E2151" s="3" t="str">
        <f>"لرزه گير  TL02 D  003 دستگاه تهويه"</f>
        <v>لرزه گير  TL02 D  003 دستگاه تهويه</v>
      </c>
      <c r="F2151" s="3" t="str">
        <f>"عدد"</f>
        <v>عدد</v>
      </c>
      <c r="G2151" s="3">
        <v>48</v>
      </c>
      <c r="H2151" s="5">
        <v>86400000</v>
      </c>
    </row>
    <row r="2152" spans="1:8" ht="18.75" x14ac:dyDescent="0.2">
      <c r="A2152" s="3" t="str">
        <f t="shared" si="265"/>
        <v>98/11/26</v>
      </c>
      <c r="B2152" s="3" t="str">
        <f t="shared" si="266"/>
        <v>كالاهاي مصرفي</v>
      </c>
      <c r="C2152" s="3" t="str">
        <f t="shared" si="268"/>
        <v>انبار مصرفي ZU1</v>
      </c>
      <c r="D2152" s="3" t="str">
        <f>"0204000490"</f>
        <v>0204000490</v>
      </c>
      <c r="E2152" s="3" t="str">
        <f>"صفحات لاستيك آببندي مقاوم در مقابل محيط اسيدي،بازي و روغن ضخامت 2"</f>
        <v>صفحات لاستيك آببندي مقاوم در مقابل محيط اسيدي،بازي و روغن ضخامت 2</v>
      </c>
      <c r="F2152" s="3" t="str">
        <f>"کيلوگرم"</f>
        <v>کيلوگرم</v>
      </c>
      <c r="G2152" s="3">
        <v>149</v>
      </c>
      <c r="H2152" s="5">
        <v>86738000</v>
      </c>
    </row>
    <row r="2153" spans="1:8" ht="18.75" x14ac:dyDescent="0.2">
      <c r="A2153" s="3" t="str">
        <f t="shared" si="265"/>
        <v>98/11/26</v>
      </c>
      <c r="B2153" s="3" t="str">
        <f t="shared" si="266"/>
        <v>كالاهاي مصرفي</v>
      </c>
      <c r="C2153" s="3" t="str">
        <f t="shared" si="268"/>
        <v>انبار مصرفي ZU1</v>
      </c>
      <c r="D2153" s="3" t="str">
        <f>"0213000231"</f>
        <v>0213000231</v>
      </c>
      <c r="E2153" s="3" t="str">
        <f>"مهره M42"</f>
        <v>مهره M42</v>
      </c>
      <c r="F2153" s="3" t="str">
        <f>"عدد"</f>
        <v>عدد</v>
      </c>
      <c r="G2153" s="3">
        <v>742</v>
      </c>
      <c r="H2153" s="5">
        <v>87550644</v>
      </c>
    </row>
    <row r="2154" spans="1:8" ht="18.75" x14ac:dyDescent="0.2">
      <c r="A2154" s="3" t="str">
        <f t="shared" si="265"/>
        <v>98/11/26</v>
      </c>
      <c r="B2154" s="3" t="str">
        <f t="shared" si="266"/>
        <v>كالاهاي مصرفي</v>
      </c>
      <c r="C2154" s="3" t="str">
        <f t="shared" si="268"/>
        <v>انبار مصرفي ZU1</v>
      </c>
      <c r="D2154" s="3" t="str">
        <f>"0204002413"</f>
        <v>0204002413</v>
      </c>
      <c r="E2154" s="3" t="str">
        <f>"بيرينگ 22228CCK/C3W33"</f>
        <v>بيرينگ 22228CCK/C3W33</v>
      </c>
      <c r="F2154" s="3" t="str">
        <f>"عدد"</f>
        <v>عدد</v>
      </c>
      <c r="G2154" s="3">
        <v>2</v>
      </c>
      <c r="H2154" s="5">
        <v>90000000</v>
      </c>
    </row>
    <row r="2155" spans="1:8" ht="18.75" x14ac:dyDescent="0.2">
      <c r="A2155" s="3" t="str">
        <f t="shared" si="265"/>
        <v>98/11/26</v>
      </c>
      <c r="B2155" s="3" t="str">
        <f t="shared" si="266"/>
        <v>كالاهاي مصرفي</v>
      </c>
      <c r="C2155" s="3" t="str">
        <f t="shared" si="268"/>
        <v>انبار مصرفي ZU1</v>
      </c>
      <c r="D2155" s="3" t="str">
        <f>"0206000925"</f>
        <v>0206000925</v>
      </c>
      <c r="E2155" s="3" t="str">
        <f>"بست عايق طنابي سايز 10"</f>
        <v>بست عايق طنابي سايز 10</v>
      </c>
      <c r="F2155" s="3" t="str">
        <f>"عدد"</f>
        <v>عدد</v>
      </c>
      <c r="G2155" s="3">
        <v>200</v>
      </c>
      <c r="H2155" s="5">
        <v>90000000</v>
      </c>
    </row>
    <row r="2156" spans="1:8" ht="18.75" x14ac:dyDescent="0.2">
      <c r="A2156" s="3" t="str">
        <f t="shared" si="265"/>
        <v>98/11/26</v>
      </c>
      <c r="B2156" s="3" t="str">
        <f t="shared" si="266"/>
        <v>كالاهاي مصرفي</v>
      </c>
      <c r="C2156" s="3" t="str">
        <f t="shared" si="268"/>
        <v>انبار مصرفي ZU1</v>
      </c>
      <c r="D2156" s="3" t="str">
        <f>"0209000364"</f>
        <v>0209000364</v>
      </c>
      <c r="E2156" s="3" t="str">
        <f>"شافت پمپ UW00D002"</f>
        <v>شافت پمپ UW00D002</v>
      </c>
      <c r="F2156" s="3" t="str">
        <f>"عدد"</f>
        <v>عدد</v>
      </c>
      <c r="G2156" s="3">
        <v>1</v>
      </c>
      <c r="H2156" s="5">
        <v>90000000</v>
      </c>
    </row>
    <row r="2157" spans="1:8" ht="18.75" x14ac:dyDescent="0.2">
      <c r="A2157" s="3" t="str">
        <f t="shared" si="265"/>
        <v>98/11/26</v>
      </c>
      <c r="B2157" s="3" t="str">
        <f t="shared" si="266"/>
        <v>كالاهاي مصرفي</v>
      </c>
      <c r="C2157" s="3" t="str">
        <f t="shared" si="268"/>
        <v>انبار مصرفي ZU1</v>
      </c>
      <c r="D2157" s="3" t="str">
        <f>"0204001773"</f>
        <v>0204001773</v>
      </c>
      <c r="E2157" s="3" t="str">
        <f>"پكينگ آب بندي گرافيت مسلح  8* 8"</f>
        <v>پكينگ آب بندي گرافيت مسلح  8* 8</v>
      </c>
      <c r="F2157" s="3" t="str">
        <f>"کيلوگرم"</f>
        <v>کيلوگرم</v>
      </c>
      <c r="G2157" s="3">
        <v>55</v>
      </c>
      <c r="H2157" s="5">
        <v>90750000</v>
      </c>
    </row>
    <row r="2158" spans="1:8" ht="18.75" x14ac:dyDescent="0.2">
      <c r="A2158" s="3" t="str">
        <f t="shared" si="265"/>
        <v>98/11/26</v>
      </c>
      <c r="B2158" s="3" t="str">
        <f t="shared" si="266"/>
        <v>كالاهاي مصرفي</v>
      </c>
      <c r="C2158" s="3" t="str">
        <f t="shared" si="268"/>
        <v>انبار مصرفي ZU1</v>
      </c>
      <c r="D2158" s="3" t="str">
        <f>"0204001774"</f>
        <v>0204001774</v>
      </c>
      <c r="E2158" s="3" t="str">
        <f>"پكينگ آب بندي گرافيت مسلح  10* 10"</f>
        <v>پكينگ آب بندي گرافيت مسلح  10* 10</v>
      </c>
      <c r="F2158" s="3" t="str">
        <f>"کيلوگرم"</f>
        <v>کيلوگرم</v>
      </c>
      <c r="G2158" s="3">
        <v>55</v>
      </c>
      <c r="H2158" s="5">
        <v>90750000</v>
      </c>
    </row>
    <row r="2159" spans="1:8" ht="18.75" x14ac:dyDescent="0.2">
      <c r="A2159" s="3" t="str">
        <f t="shared" si="265"/>
        <v>98/11/26</v>
      </c>
      <c r="B2159" s="3" t="str">
        <f t="shared" si="266"/>
        <v>كالاهاي مصرفي</v>
      </c>
      <c r="C2159" s="3" t="str">
        <f t="shared" si="268"/>
        <v>انبار مصرفي ZU1</v>
      </c>
      <c r="D2159" s="3" t="str">
        <f>"0206000199"</f>
        <v>0206000199</v>
      </c>
      <c r="E2159" s="3" t="str">
        <f>"بست كمربندي پلاستيكي 30 سانتي"</f>
        <v>بست كمربندي پلاستيكي 30 سانتي</v>
      </c>
      <c r="F2159" s="3" t="str">
        <f>"بسته"</f>
        <v>بسته</v>
      </c>
      <c r="G2159" s="3">
        <v>260</v>
      </c>
      <c r="H2159" s="5">
        <v>91000000</v>
      </c>
    </row>
    <row r="2160" spans="1:8" ht="18.75" x14ac:dyDescent="0.2">
      <c r="A2160" s="3" t="str">
        <f t="shared" si="265"/>
        <v>98/11/26</v>
      </c>
      <c r="B2160" s="3" t="str">
        <f t="shared" si="266"/>
        <v>كالاهاي مصرفي</v>
      </c>
      <c r="C2160" s="3" t="str">
        <f t="shared" si="268"/>
        <v>انبار مصرفي ZU1</v>
      </c>
      <c r="D2160" s="3" t="str">
        <f>"0204000245"</f>
        <v>0204000245</v>
      </c>
      <c r="E2160" s="3" t="str">
        <f>"پكينگ آبندي فشاري 18* 18  تفلون خالص"</f>
        <v>پكينگ آبندي فشاري 18* 18  تفلون خالص</v>
      </c>
      <c r="F2160" s="3" t="str">
        <f>"کيلوگرم"</f>
        <v>کيلوگرم</v>
      </c>
      <c r="G2160" s="3">
        <v>50</v>
      </c>
      <c r="H2160" s="5">
        <v>92000000</v>
      </c>
    </row>
    <row r="2161" spans="1:8" ht="18.75" x14ac:dyDescent="0.2">
      <c r="A2161" s="3" t="str">
        <f t="shared" si="265"/>
        <v>98/11/26</v>
      </c>
      <c r="B2161" s="3" t="str">
        <f t="shared" si="266"/>
        <v>كالاهاي مصرفي</v>
      </c>
      <c r="C2161" s="3" t="str">
        <f t="shared" si="268"/>
        <v>انبار مصرفي ZU1</v>
      </c>
      <c r="D2161" s="3" t="str">
        <f>"0204000246"</f>
        <v>0204000246</v>
      </c>
      <c r="E2161" s="3" t="str">
        <f>"پكينگ آبندي فشاري 20* 20  تفلون خالص"</f>
        <v>پكينگ آبندي فشاري 20* 20  تفلون خالص</v>
      </c>
      <c r="F2161" s="3" t="str">
        <f>"کيلوگرم"</f>
        <v>کيلوگرم</v>
      </c>
      <c r="G2161" s="3">
        <v>50</v>
      </c>
      <c r="H2161" s="5">
        <v>92000000</v>
      </c>
    </row>
    <row r="2162" spans="1:8" ht="18.75" x14ac:dyDescent="0.2">
      <c r="A2162" s="3" t="str">
        <f t="shared" si="265"/>
        <v>98/11/26</v>
      </c>
      <c r="B2162" s="3" t="str">
        <f t="shared" si="266"/>
        <v>كالاهاي مصرفي</v>
      </c>
      <c r="C2162" s="3" t="str">
        <f t="shared" si="268"/>
        <v>انبار مصرفي ZU1</v>
      </c>
      <c r="D2162" s="3" t="str">
        <f>"0601000023"</f>
        <v>0601000023</v>
      </c>
      <c r="E2162" s="3" t="str">
        <f>"دستكش صنعتي تيپ 2 (ضد اسيد )"</f>
        <v>دستكش صنعتي تيپ 2 (ضد اسيد )</v>
      </c>
      <c r="F2162" s="3" t="str">
        <f>"جفت"</f>
        <v>جفت</v>
      </c>
      <c r="G2162" s="3">
        <v>36</v>
      </c>
      <c r="H2162" s="5">
        <v>92500000</v>
      </c>
    </row>
    <row r="2163" spans="1:8" ht="18.75" x14ac:dyDescent="0.2">
      <c r="A2163" s="3" t="str">
        <f t="shared" si="265"/>
        <v>98/11/26</v>
      </c>
      <c r="B2163" s="3" t="str">
        <f t="shared" si="266"/>
        <v>كالاهاي مصرفي</v>
      </c>
      <c r="C2163" s="3" t="str">
        <f t="shared" si="268"/>
        <v>انبار مصرفي ZU1</v>
      </c>
      <c r="D2163" s="3" t="str">
        <f>"0215000086"</f>
        <v>0215000086</v>
      </c>
      <c r="E2163" s="3" t="str">
        <f>"فيلتر  كيسه اي 300*592*592 -F5"</f>
        <v>فيلتر  كيسه اي 300*592*592 -F5</v>
      </c>
      <c r="F2163" s="3" t="str">
        <f>"عدد"</f>
        <v>عدد</v>
      </c>
      <c r="G2163" s="3">
        <v>208</v>
      </c>
      <c r="H2163" s="5">
        <v>93600000</v>
      </c>
    </row>
    <row r="2164" spans="1:8" ht="18.75" x14ac:dyDescent="0.2">
      <c r="A2164" s="3" t="str">
        <f t="shared" si="265"/>
        <v>98/11/26</v>
      </c>
      <c r="B2164" s="3" t="str">
        <f t="shared" si="266"/>
        <v>كالاهاي مصرفي</v>
      </c>
      <c r="C2164" s="3" t="str">
        <f t="shared" si="268"/>
        <v>انبار مصرفي ZU1</v>
      </c>
      <c r="D2164" s="3" t="str">
        <f>"0209000439"</f>
        <v>0209000439</v>
      </c>
      <c r="E2164" s="3" t="str">
        <f>"پوسته ياتاقان SN518"</f>
        <v>پوسته ياتاقان SN518</v>
      </c>
      <c r="F2164" s="3" t="str">
        <f>"عدد"</f>
        <v>عدد</v>
      </c>
      <c r="G2164" s="3">
        <v>9</v>
      </c>
      <c r="H2164" s="5">
        <v>94500000</v>
      </c>
    </row>
    <row r="2165" spans="1:8" ht="18.75" x14ac:dyDescent="0.2">
      <c r="A2165" s="3" t="str">
        <f t="shared" si="265"/>
        <v>98/11/26</v>
      </c>
      <c r="B2165" s="3" t="str">
        <f t="shared" si="266"/>
        <v>كالاهاي مصرفي</v>
      </c>
      <c r="C2165" s="3" t="str">
        <f t="shared" si="268"/>
        <v>انبار مصرفي ZU1</v>
      </c>
      <c r="D2165" s="3" t="str">
        <f>"0215000199"</f>
        <v>0215000199</v>
      </c>
      <c r="E2165" s="3" t="str">
        <f>"فيلتر روغن RL12,22,32N001"</f>
        <v>فيلتر روغن RL12,22,32N001</v>
      </c>
      <c r="F2165" s="3" t="str">
        <f>"عدد"</f>
        <v>عدد</v>
      </c>
      <c r="G2165" s="3">
        <v>3</v>
      </c>
      <c r="H2165" s="5">
        <v>94500000</v>
      </c>
    </row>
    <row r="2166" spans="1:8" ht="18.75" x14ac:dyDescent="0.2">
      <c r="A2166" s="3" t="str">
        <f t="shared" si="265"/>
        <v>98/11/26</v>
      </c>
      <c r="B2166" s="3" t="str">
        <f t="shared" si="266"/>
        <v>كالاهاي مصرفي</v>
      </c>
      <c r="C2166" s="3" t="str">
        <f t="shared" si="268"/>
        <v>انبار مصرفي ZU1</v>
      </c>
      <c r="D2166" s="3" t="str">
        <f>"0214000430"</f>
        <v>0214000430</v>
      </c>
      <c r="E2166" s="3" t="str">
        <f>"شافت زيلاميد  خود چرب قطر300 ميليمتر"</f>
        <v>شافت زيلاميد  خود چرب قطر300 ميليمتر</v>
      </c>
      <c r="F2166" s="3" t="str">
        <f>"متر"</f>
        <v>متر</v>
      </c>
      <c r="G2166" s="3">
        <v>1</v>
      </c>
      <c r="H2166" s="5">
        <v>94680000</v>
      </c>
    </row>
    <row r="2167" spans="1:8" ht="18.75" x14ac:dyDescent="0.2">
      <c r="A2167" s="3" t="str">
        <f t="shared" si="265"/>
        <v>98/11/26</v>
      </c>
      <c r="B2167" s="3" t="str">
        <f t="shared" si="266"/>
        <v>كالاهاي مصرفي</v>
      </c>
      <c r="C2167" s="3" t="str">
        <f t="shared" si="268"/>
        <v>انبار مصرفي ZU1</v>
      </c>
      <c r="D2167" s="3" t="str">
        <f>"0204000119"</f>
        <v>0204000119</v>
      </c>
      <c r="E2167" s="3" t="str">
        <f>"بيرينگ 7316-BECBM"</f>
        <v>بيرينگ 7316-BECBM</v>
      </c>
      <c r="F2167" s="3" t="str">
        <f>"عدد"</f>
        <v>عدد</v>
      </c>
      <c r="G2167" s="3">
        <v>17</v>
      </c>
      <c r="H2167" s="5">
        <v>95651918</v>
      </c>
    </row>
    <row r="2168" spans="1:8" ht="18.75" x14ac:dyDescent="0.2">
      <c r="A2168" s="3" t="str">
        <f t="shared" si="265"/>
        <v>98/11/26</v>
      </c>
      <c r="B2168" s="3" t="str">
        <f t="shared" si="266"/>
        <v>كالاهاي مصرفي</v>
      </c>
      <c r="C2168" s="3" t="str">
        <f t="shared" si="268"/>
        <v>انبار مصرفي ZU1</v>
      </c>
      <c r="D2168" s="3" t="str">
        <f>"0213000429"</f>
        <v>0213000429</v>
      </c>
      <c r="E2168" s="3" t="str">
        <f>"پيچ دو سر رزوه استنلس استيل M42"</f>
        <v>پيچ دو سر رزوه استنلس استيل M42</v>
      </c>
      <c r="F2168" s="3" t="str">
        <f>"متر"</f>
        <v>متر</v>
      </c>
      <c r="G2168" s="3">
        <v>20</v>
      </c>
      <c r="H2168" s="5">
        <v>96000000</v>
      </c>
    </row>
    <row r="2169" spans="1:8" ht="18.75" x14ac:dyDescent="0.2">
      <c r="A2169" s="3" t="str">
        <f t="shared" si="265"/>
        <v>98/11/26</v>
      </c>
      <c r="B2169" s="3" t="str">
        <f t="shared" si="266"/>
        <v>كالاهاي مصرفي</v>
      </c>
      <c r="C2169" s="3" t="str">
        <f t="shared" si="268"/>
        <v>انبار مصرفي ZU1</v>
      </c>
      <c r="D2169" s="3" t="str">
        <f>"0204000454"</f>
        <v>0204000454</v>
      </c>
      <c r="E2169" s="3" t="str">
        <f>"گسكت مقاوم به آب داغ و بخار با تراكم 1000 ضخامت 3 ميليمتر"</f>
        <v>گسكت مقاوم به آب داغ و بخار با تراكم 1000 ضخامت 3 ميليمتر</v>
      </c>
      <c r="F2169" s="3" t="str">
        <f>"متر مربع"</f>
        <v>متر مربع</v>
      </c>
      <c r="G2169" s="3">
        <v>41.75</v>
      </c>
      <c r="H2169" s="5">
        <v>96771428</v>
      </c>
    </row>
    <row r="2170" spans="1:8" ht="18.75" x14ac:dyDescent="0.2">
      <c r="A2170" s="3" t="str">
        <f t="shared" si="265"/>
        <v>98/11/26</v>
      </c>
      <c r="B2170" s="3" t="str">
        <f t="shared" si="266"/>
        <v>كالاهاي مصرفي</v>
      </c>
      <c r="C2170" s="3" t="str">
        <f t="shared" si="268"/>
        <v>انبار مصرفي ZU1</v>
      </c>
      <c r="D2170" s="3" t="str">
        <f>"0204000497"</f>
        <v>0204000497</v>
      </c>
      <c r="E2170" s="3" t="str">
        <f>"صفحات لاستيك آببندي مقاوم در مقابل محيط اسيدي،بازي و روغن ضخامت 12"</f>
        <v>صفحات لاستيك آببندي مقاوم در مقابل محيط اسيدي،بازي و روغن ضخامت 12</v>
      </c>
      <c r="F2170" s="3" t="str">
        <f>"کيلوگرم"</f>
        <v>کيلوگرم</v>
      </c>
      <c r="G2170" s="3">
        <v>185</v>
      </c>
      <c r="H2170" s="5">
        <v>97200000</v>
      </c>
    </row>
    <row r="2171" spans="1:8" ht="18.75" x14ac:dyDescent="0.2">
      <c r="A2171" s="3" t="str">
        <f t="shared" si="265"/>
        <v>98/11/26</v>
      </c>
      <c r="B2171" s="3" t="str">
        <f t="shared" si="266"/>
        <v>كالاهاي مصرفي</v>
      </c>
      <c r="C2171" s="3" t="str">
        <f t="shared" si="268"/>
        <v>انبار مصرفي ZU1</v>
      </c>
      <c r="D2171" s="3" t="str">
        <f>"0211000086"</f>
        <v>0211000086</v>
      </c>
      <c r="E2171" s="3" t="str">
        <f>"ضربه گير فنري فيلتر"</f>
        <v>ضربه گير فنري فيلتر</v>
      </c>
      <c r="F2171" s="3" t="str">
        <f>"عدد"</f>
        <v>عدد</v>
      </c>
      <c r="G2171" s="3">
        <v>50</v>
      </c>
      <c r="H2171" s="5">
        <v>97500000</v>
      </c>
    </row>
    <row r="2172" spans="1:8" ht="18.75" x14ac:dyDescent="0.2">
      <c r="A2172" s="3" t="str">
        <f t="shared" si="265"/>
        <v>98/11/26</v>
      </c>
      <c r="B2172" s="3" t="str">
        <f t="shared" si="266"/>
        <v>كالاهاي مصرفي</v>
      </c>
      <c r="C2172" s="3" t="str">
        <f t="shared" si="268"/>
        <v>انبار مصرفي ZU1</v>
      </c>
      <c r="D2172" s="3" t="str">
        <f>"0106000041"</f>
        <v>0106000041</v>
      </c>
      <c r="E2172" s="3" t="str">
        <f>"روغن كمپرسور K4-20"</f>
        <v>روغن كمپرسور K4-20</v>
      </c>
      <c r="F2172" s="3" t="str">
        <f>"ليتر"</f>
        <v>ليتر</v>
      </c>
      <c r="G2172" s="3">
        <v>208</v>
      </c>
      <c r="H2172" s="5">
        <v>99000000</v>
      </c>
    </row>
    <row r="2173" spans="1:8" ht="18.75" x14ac:dyDescent="0.2">
      <c r="A2173" s="3" t="str">
        <f t="shared" si="265"/>
        <v>98/11/26</v>
      </c>
      <c r="B2173" s="3" t="str">
        <f t="shared" si="266"/>
        <v>كالاهاي مصرفي</v>
      </c>
      <c r="C2173" s="3" t="str">
        <f t="shared" si="268"/>
        <v>انبار مصرفي ZU1</v>
      </c>
      <c r="D2173" s="3" t="str">
        <f>"0204000491"</f>
        <v>0204000491</v>
      </c>
      <c r="E2173" s="3" t="str">
        <f>"صفحات لاستيك آببندي مقاوم در مقابل محيط اسيدي،بازي و روغن ضخامت 3"</f>
        <v>صفحات لاستيك آببندي مقاوم در مقابل محيط اسيدي،بازي و روغن ضخامت 3</v>
      </c>
      <c r="F2173" s="3" t="str">
        <f>"کيلوگرم"</f>
        <v>کيلوگرم</v>
      </c>
      <c r="G2173" s="3">
        <v>100</v>
      </c>
      <c r="H2173" s="5">
        <v>99000000</v>
      </c>
    </row>
    <row r="2174" spans="1:8" ht="18.75" x14ac:dyDescent="0.2">
      <c r="A2174" s="3" t="str">
        <f t="shared" si="265"/>
        <v>98/11/26</v>
      </c>
      <c r="B2174" s="3" t="str">
        <f t="shared" si="266"/>
        <v>كالاهاي مصرفي</v>
      </c>
      <c r="C2174" s="3" t="str">
        <f t="shared" si="268"/>
        <v>انبار مصرفي ZU1</v>
      </c>
      <c r="D2174" s="3" t="str">
        <f>"0204002219"</f>
        <v>0204002219</v>
      </c>
      <c r="E2174" s="3" t="str">
        <f>"پوسته بيرينگ SN312"</f>
        <v>پوسته بيرينگ SN312</v>
      </c>
      <c r="F2174" s="3" t="str">
        <f>"عدد"</f>
        <v>عدد</v>
      </c>
      <c r="G2174" s="3">
        <v>9</v>
      </c>
      <c r="H2174" s="5">
        <v>99000000</v>
      </c>
    </row>
    <row r="2175" spans="1:8" ht="18.75" x14ac:dyDescent="0.2">
      <c r="A2175" s="3" t="str">
        <f t="shared" si="265"/>
        <v>98/11/26</v>
      </c>
      <c r="B2175" s="3" t="str">
        <f t="shared" si="266"/>
        <v>كالاهاي مصرفي</v>
      </c>
      <c r="C2175" s="3" t="str">
        <f t="shared" si="268"/>
        <v>انبار مصرفي ZU1</v>
      </c>
      <c r="D2175" s="3" t="str">
        <f>"0204001932"</f>
        <v>0204001932</v>
      </c>
      <c r="E2175" s="3" t="str">
        <f>"7322 BM بيرينگ"</f>
        <v>7322 BM بيرينگ</v>
      </c>
      <c r="F2175" s="3" t="str">
        <f>"عدد"</f>
        <v>عدد</v>
      </c>
      <c r="G2175" s="3">
        <v>9</v>
      </c>
      <c r="H2175" s="5">
        <v>99450000</v>
      </c>
    </row>
    <row r="2176" spans="1:8" ht="18.75" x14ac:dyDescent="0.2">
      <c r="A2176" s="3" t="str">
        <f t="shared" si="265"/>
        <v>98/11/26</v>
      </c>
      <c r="B2176" s="3" t="str">
        <f t="shared" si="266"/>
        <v>كالاهاي مصرفي</v>
      </c>
      <c r="C2176" s="3" t="str">
        <f t="shared" si="268"/>
        <v>انبار مصرفي ZU1</v>
      </c>
      <c r="D2176" s="3" t="str">
        <f>"0204000269"</f>
        <v>0204000269</v>
      </c>
      <c r="E2176" s="3" t="str">
        <f>"پكينگ آبندي فشاري 8* 8  تفلون گرافيتي"</f>
        <v>پكينگ آبندي فشاري 8* 8  تفلون گرافيتي</v>
      </c>
      <c r="F2176" s="3" t="str">
        <f>"کيلوگرم"</f>
        <v>کيلوگرم</v>
      </c>
      <c r="G2176" s="3">
        <v>50.26</v>
      </c>
      <c r="H2176" s="5">
        <v>100420037</v>
      </c>
    </row>
    <row r="2177" spans="1:8" ht="18.75" x14ac:dyDescent="0.2">
      <c r="A2177" s="3" t="str">
        <f t="shared" si="265"/>
        <v>98/11/26</v>
      </c>
      <c r="B2177" s="3" t="str">
        <f t="shared" si="266"/>
        <v>كالاهاي مصرفي</v>
      </c>
      <c r="C2177" s="3" t="str">
        <f t="shared" si="268"/>
        <v>انبار مصرفي ZU1</v>
      </c>
      <c r="D2177" s="3" t="str">
        <f>"0601000191"</f>
        <v>0601000191</v>
      </c>
      <c r="E2177" s="3" t="str">
        <f>"لباس يكسره با پارچه تنفسي"</f>
        <v>لباس يكسره با پارچه تنفسي</v>
      </c>
      <c r="F2177" s="3" t="str">
        <f>"دست"</f>
        <v>دست</v>
      </c>
      <c r="G2177" s="3">
        <v>186</v>
      </c>
      <c r="H2177" s="5">
        <v>100905000</v>
      </c>
    </row>
    <row r="2178" spans="1:8" ht="18.75" x14ac:dyDescent="0.2">
      <c r="A2178" s="3" t="str">
        <f t="shared" ref="A2178:A2241" si="269">"98/11/26"</f>
        <v>98/11/26</v>
      </c>
      <c r="B2178" s="3" t="str">
        <f t="shared" ref="B2178:B2241" si="270">"كالاهاي مصرفي"</f>
        <v>كالاهاي مصرفي</v>
      </c>
      <c r="C2178" s="3" t="str">
        <f t="shared" si="268"/>
        <v>انبار مصرفي ZU1</v>
      </c>
      <c r="D2178" s="3" t="str">
        <f>"0105000159"</f>
        <v>0105000159</v>
      </c>
      <c r="E2178" s="3" t="str">
        <f>"چسب واشر ساز حرارتي پمادي"</f>
        <v>چسب واشر ساز حرارتي پمادي</v>
      </c>
      <c r="F2178" s="3" t="str">
        <f>"عدد"</f>
        <v>عدد</v>
      </c>
      <c r="G2178" s="3">
        <v>226</v>
      </c>
      <c r="H2178" s="5">
        <v>101700000</v>
      </c>
    </row>
    <row r="2179" spans="1:8" ht="18.75" x14ac:dyDescent="0.2">
      <c r="A2179" s="3" t="str">
        <f t="shared" si="269"/>
        <v>98/11/26</v>
      </c>
      <c r="B2179" s="3" t="str">
        <f t="shared" si="270"/>
        <v>كالاهاي مصرفي</v>
      </c>
      <c r="C2179" s="3" t="str">
        <f t="shared" si="268"/>
        <v>انبار مصرفي ZU1</v>
      </c>
      <c r="D2179" s="3" t="str">
        <f>"0204000480"</f>
        <v>0204000480</v>
      </c>
      <c r="E2179" s="3" t="str">
        <f>"گسكت(واشرابندي) مسلح گرافيتي - ضخامت 3 ميليمتر"</f>
        <v>گسكت(واشرابندي) مسلح گرافيتي - ضخامت 3 ميليمتر</v>
      </c>
      <c r="F2179" s="3" t="str">
        <f>"متر مربع"</f>
        <v>متر مربع</v>
      </c>
      <c r="G2179" s="3">
        <v>37</v>
      </c>
      <c r="H2179" s="5">
        <v>103295409</v>
      </c>
    </row>
    <row r="2180" spans="1:8" ht="18.75" x14ac:dyDescent="0.2">
      <c r="A2180" s="3" t="str">
        <f t="shared" si="269"/>
        <v>98/11/26</v>
      </c>
      <c r="B2180" s="3" t="str">
        <f t="shared" si="270"/>
        <v>كالاهاي مصرفي</v>
      </c>
      <c r="C2180" s="3" t="str">
        <f t="shared" si="268"/>
        <v>انبار مصرفي ZU1</v>
      </c>
      <c r="D2180" s="3" t="str">
        <f>"0204001364"</f>
        <v>0204001364</v>
      </c>
      <c r="E2180" s="3" t="str">
        <f>"اورينگ HNBR 1380*10"</f>
        <v>اورينگ HNBR 1380*10</v>
      </c>
      <c r="F2180" s="3" t="str">
        <f>"عدد"</f>
        <v>عدد</v>
      </c>
      <c r="G2180" s="3">
        <v>20</v>
      </c>
      <c r="H2180" s="5">
        <v>103340000</v>
      </c>
    </row>
    <row r="2181" spans="1:8" ht="18.75" x14ac:dyDescent="0.2">
      <c r="A2181" s="3" t="str">
        <f t="shared" si="269"/>
        <v>98/11/26</v>
      </c>
      <c r="B2181" s="3" t="str">
        <f t="shared" si="270"/>
        <v>كالاهاي مصرفي</v>
      </c>
      <c r="C2181" s="3" t="str">
        <f t="shared" ref="C2181:C2197" si="271">"انبار مصرفي ZU1"</f>
        <v>انبار مصرفي ZU1</v>
      </c>
      <c r="D2181" s="3" t="str">
        <f>"0209000408"</f>
        <v>0209000408</v>
      </c>
      <c r="E2181" s="3" t="str">
        <f>"Uork Compressor Oring Neoprene 135.89*6.99 اورينگ كمپرسور يورك"</f>
        <v>Uork Compressor Oring Neoprene 135.89*6.99 اورينگ كمپرسور يورك</v>
      </c>
      <c r="F2181" s="3" t="str">
        <f>"عدد"</f>
        <v>عدد</v>
      </c>
      <c r="G2181" s="3">
        <v>12</v>
      </c>
      <c r="H2181" s="5">
        <v>103416000</v>
      </c>
    </row>
    <row r="2182" spans="1:8" ht="18.75" x14ac:dyDescent="0.2">
      <c r="A2182" s="3" t="str">
        <f t="shared" si="269"/>
        <v>98/11/26</v>
      </c>
      <c r="B2182" s="3" t="str">
        <f t="shared" si="270"/>
        <v>كالاهاي مصرفي</v>
      </c>
      <c r="C2182" s="3" t="str">
        <f t="shared" si="271"/>
        <v>انبار مصرفي ZU1</v>
      </c>
      <c r="D2182" s="3" t="str">
        <f>"0204001139"</f>
        <v>0204001139</v>
      </c>
      <c r="E2182" s="3" t="str">
        <f>"صفحات لاستيك آببندي مقاوم در مقابل محيط اسيدي و بازي ضخامت 1"</f>
        <v>صفحات لاستيك آببندي مقاوم در مقابل محيط اسيدي و بازي ضخامت 1</v>
      </c>
      <c r="F2182" s="3" t="str">
        <f>"متر مربع"</f>
        <v>متر مربع</v>
      </c>
      <c r="G2182" s="3">
        <v>112</v>
      </c>
      <c r="H2182" s="5">
        <v>103900000</v>
      </c>
    </row>
    <row r="2183" spans="1:8" ht="18.75" x14ac:dyDescent="0.2">
      <c r="A2183" s="3" t="str">
        <f t="shared" si="269"/>
        <v>98/11/26</v>
      </c>
      <c r="B2183" s="3" t="str">
        <f t="shared" si="270"/>
        <v>كالاهاي مصرفي</v>
      </c>
      <c r="C2183" s="3" t="str">
        <f t="shared" si="271"/>
        <v>انبار مصرفي ZU1</v>
      </c>
      <c r="D2183" s="3" t="str">
        <f>"0211001444"</f>
        <v>0211001444</v>
      </c>
      <c r="E2183" s="3" t="str">
        <f>"سركابل لاستيكي بزرگ"</f>
        <v>سركابل لاستيكي بزرگ</v>
      </c>
      <c r="F2183" s="3" t="str">
        <f>"عدد"</f>
        <v>عدد</v>
      </c>
      <c r="G2183" s="3">
        <v>400</v>
      </c>
      <c r="H2183" s="5">
        <v>104000000</v>
      </c>
    </row>
    <row r="2184" spans="1:8" ht="18.75" x14ac:dyDescent="0.2">
      <c r="A2184" s="3" t="str">
        <f t="shared" si="269"/>
        <v>98/11/26</v>
      </c>
      <c r="B2184" s="3" t="str">
        <f t="shared" si="270"/>
        <v>كالاهاي مصرفي</v>
      </c>
      <c r="C2184" s="3" t="str">
        <f t="shared" si="271"/>
        <v>انبار مصرفي ZU1</v>
      </c>
      <c r="D2184" s="3" t="str">
        <f>"0106000021"</f>
        <v>0106000021</v>
      </c>
      <c r="E2184" s="3" t="str">
        <f>"روغن Aeroshell Fluid 41 MIL-PRF-5606H"</f>
        <v>روغن Aeroshell Fluid 41 MIL-PRF-5606H</v>
      </c>
      <c r="F2184" s="3" t="str">
        <f>"ليتر"</f>
        <v>ليتر</v>
      </c>
      <c r="G2184" s="3">
        <v>210</v>
      </c>
      <c r="H2184" s="5">
        <v>105000000</v>
      </c>
    </row>
    <row r="2185" spans="1:8" ht="18.75" x14ac:dyDescent="0.2">
      <c r="A2185" s="3" t="str">
        <f t="shared" si="269"/>
        <v>98/11/26</v>
      </c>
      <c r="B2185" s="3" t="str">
        <f t="shared" si="270"/>
        <v>كالاهاي مصرفي</v>
      </c>
      <c r="C2185" s="3" t="str">
        <f t="shared" si="271"/>
        <v>انبار مصرفي ZU1</v>
      </c>
      <c r="D2185" s="3" t="str">
        <f>"0204002019"</f>
        <v>0204002019</v>
      </c>
      <c r="E2185" s="3" t="str">
        <f>"ضربه گير لاستيکي VE11D001"</f>
        <v>ضربه گير لاستيکي VE11D001</v>
      </c>
      <c r="F2185" s="3" t="str">
        <f>"عدد"</f>
        <v>عدد</v>
      </c>
      <c r="G2185" s="3">
        <v>63</v>
      </c>
      <c r="H2185" s="5">
        <v>107100000</v>
      </c>
    </row>
    <row r="2186" spans="1:8" ht="18.75" x14ac:dyDescent="0.2">
      <c r="A2186" s="3" t="str">
        <f t="shared" si="269"/>
        <v>98/11/26</v>
      </c>
      <c r="B2186" s="3" t="str">
        <f t="shared" si="270"/>
        <v>كالاهاي مصرفي</v>
      </c>
      <c r="C2186" s="3" t="str">
        <f t="shared" si="271"/>
        <v>انبار مصرفي ZU1</v>
      </c>
      <c r="D2186" s="3" t="str">
        <f>"0215000138"</f>
        <v>0215000138</v>
      </c>
      <c r="E2186" s="3" t="str">
        <f>"فيلتر نواري LFS-2-50 UDA-1AB"</f>
        <v>فيلتر نواري LFS-2-50 UDA-1AB</v>
      </c>
      <c r="F2186" s="3" t="str">
        <f>"رول"</f>
        <v>رول</v>
      </c>
      <c r="G2186" s="3">
        <v>22</v>
      </c>
      <c r="H2186" s="5">
        <v>109345974</v>
      </c>
    </row>
    <row r="2187" spans="1:8" ht="18.75" x14ac:dyDescent="0.2">
      <c r="A2187" s="3" t="str">
        <f t="shared" si="269"/>
        <v>98/11/26</v>
      </c>
      <c r="B2187" s="3" t="str">
        <f t="shared" si="270"/>
        <v>كالاهاي مصرفي</v>
      </c>
      <c r="C2187" s="3" t="str">
        <f t="shared" si="271"/>
        <v>انبار مصرفي ZU1</v>
      </c>
      <c r="D2187" s="3" t="str">
        <f>"0204000496"</f>
        <v>0204000496</v>
      </c>
      <c r="E2187" s="3" t="str">
        <f>"صفحات لاستيك آببندي مقاوم در مقابل محيط اسيدي،بازي و روغن ضخامت 10"</f>
        <v>صفحات لاستيك آببندي مقاوم در مقابل محيط اسيدي،بازي و روغن ضخامت 10</v>
      </c>
      <c r="F2187" s="3" t="str">
        <f>"کيلوگرم"</f>
        <v>کيلوگرم</v>
      </c>
      <c r="G2187" s="3">
        <v>242.5</v>
      </c>
      <c r="H2187" s="5">
        <v>109627500</v>
      </c>
    </row>
    <row r="2188" spans="1:8" ht="18.75" x14ac:dyDescent="0.2">
      <c r="A2188" s="3" t="str">
        <f t="shared" si="269"/>
        <v>98/11/26</v>
      </c>
      <c r="B2188" s="3" t="str">
        <f t="shared" si="270"/>
        <v>كالاهاي مصرفي</v>
      </c>
      <c r="C2188" s="3" t="str">
        <f t="shared" si="271"/>
        <v>انبار مصرفي ZU1</v>
      </c>
      <c r="D2188" s="3" t="str">
        <f>"0215000088"</f>
        <v>0215000088</v>
      </c>
      <c r="E2188" s="3" t="str">
        <f>"فيلتر كيسه اي 440*592*592- F5"</f>
        <v>فيلتر كيسه اي 440*592*592- F5</v>
      </c>
      <c r="F2188" s="3" t="str">
        <f>"عدد"</f>
        <v>عدد</v>
      </c>
      <c r="G2188" s="3">
        <v>240</v>
      </c>
      <c r="H2188" s="5">
        <v>110400000</v>
      </c>
    </row>
    <row r="2189" spans="1:8" ht="18.75" x14ac:dyDescent="0.2">
      <c r="A2189" s="3" t="str">
        <f t="shared" si="269"/>
        <v>98/11/26</v>
      </c>
      <c r="B2189" s="3" t="str">
        <f t="shared" si="270"/>
        <v>كالاهاي مصرفي</v>
      </c>
      <c r="C2189" s="3" t="str">
        <f t="shared" si="271"/>
        <v>انبار مصرفي ZU1</v>
      </c>
      <c r="D2189" s="3" t="str">
        <f>"0211000115"</f>
        <v>0211000115</v>
      </c>
      <c r="E2189" s="3" t="str">
        <f>"ظرف يدكي روغن پمپ"</f>
        <v>ظرف يدكي روغن پمپ</v>
      </c>
      <c r="F2189" s="3" t="str">
        <f>"عدد"</f>
        <v>عدد</v>
      </c>
      <c r="G2189" s="3">
        <v>28</v>
      </c>
      <c r="H2189" s="5">
        <v>111650000</v>
      </c>
    </row>
    <row r="2190" spans="1:8" ht="18.75" x14ac:dyDescent="0.2">
      <c r="A2190" s="3" t="str">
        <f t="shared" si="269"/>
        <v>98/11/26</v>
      </c>
      <c r="B2190" s="3" t="str">
        <f t="shared" si="270"/>
        <v>كالاهاي مصرفي</v>
      </c>
      <c r="C2190" s="3" t="str">
        <f t="shared" si="271"/>
        <v>انبار مصرفي ZU1</v>
      </c>
      <c r="D2190" s="3" t="str">
        <f>"0204001753"</f>
        <v>0204001753</v>
      </c>
      <c r="E2190" s="3" t="str">
        <f>"بيرينگ 7024BGM"</f>
        <v>بيرينگ 7024BGM</v>
      </c>
      <c r="F2190" s="3" t="str">
        <f>"عدد"</f>
        <v>عدد</v>
      </c>
      <c r="G2190" s="3">
        <v>8</v>
      </c>
      <c r="H2190" s="5">
        <v>112000000</v>
      </c>
    </row>
    <row r="2191" spans="1:8" ht="18.75" x14ac:dyDescent="0.2">
      <c r="A2191" s="3" t="str">
        <f t="shared" si="269"/>
        <v>98/11/26</v>
      </c>
      <c r="B2191" s="3" t="str">
        <f t="shared" si="270"/>
        <v>كالاهاي مصرفي</v>
      </c>
      <c r="C2191" s="3" t="str">
        <f t="shared" si="271"/>
        <v>انبار مصرفي ZU1</v>
      </c>
      <c r="D2191" s="3" t="str">
        <f>"0304000091"</f>
        <v>0304000091</v>
      </c>
      <c r="E2191" s="3" t="str">
        <f>"ديسک فدا شونده شير اطمينان RUPTURE DISC"</f>
        <v>ديسک فدا شونده شير اطمينان RUPTURE DISC</v>
      </c>
      <c r="F2191" s="3" t="str">
        <f>"عدد"</f>
        <v>عدد</v>
      </c>
      <c r="G2191" s="3">
        <v>7</v>
      </c>
      <c r="H2191" s="5">
        <v>112520000</v>
      </c>
    </row>
    <row r="2192" spans="1:8" ht="18.75" x14ac:dyDescent="0.2">
      <c r="A2192" s="3" t="str">
        <f t="shared" si="269"/>
        <v>98/11/26</v>
      </c>
      <c r="B2192" s="3" t="str">
        <f t="shared" si="270"/>
        <v>كالاهاي مصرفي</v>
      </c>
      <c r="C2192" s="3" t="str">
        <f t="shared" si="271"/>
        <v>انبار مصرفي ZU1</v>
      </c>
      <c r="D2192" s="3" t="str">
        <f>"0211000206"</f>
        <v>0211000206</v>
      </c>
      <c r="E2192" s="3" t="str">
        <f>"نخ نسوز پايه سراميك قطر 50mm"</f>
        <v>نخ نسوز پايه سراميك قطر 50mm</v>
      </c>
      <c r="F2192" s="3" t="str">
        <f>"متر"</f>
        <v>متر</v>
      </c>
      <c r="G2192" s="3">
        <v>115</v>
      </c>
      <c r="H2192" s="5">
        <v>112700000</v>
      </c>
    </row>
    <row r="2193" spans="1:8" ht="18.75" x14ac:dyDescent="0.2">
      <c r="A2193" s="3" t="str">
        <f t="shared" si="269"/>
        <v>98/11/26</v>
      </c>
      <c r="B2193" s="3" t="str">
        <f t="shared" si="270"/>
        <v>كالاهاي مصرفي</v>
      </c>
      <c r="C2193" s="3" t="str">
        <f t="shared" si="271"/>
        <v>انبار مصرفي ZU1</v>
      </c>
      <c r="D2193" s="3" t="str">
        <f>"0204001102"</f>
        <v>0204001102</v>
      </c>
      <c r="E2193" s="3" t="str">
        <f>"واشر تفلوني غلتك"</f>
        <v>واشر تفلوني غلتك</v>
      </c>
      <c r="F2193" s="3" t="str">
        <f>"عدد"</f>
        <v>عدد</v>
      </c>
      <c r="G2193" s="3">
        <v>778</v>
      </c>
      <c r="H2193" s="5">
        <v>112810000</v>
      </c>
    </row>
    <row r="2194" spans="1:8" ht="18.75" x14ac:dyDescent="0.2">
      <c r="A2194" s="3" t="str">
        <f t="shared" si="269"/>
        <v>98/11/26</v>
      </c>
      <c r="B2194" s="3" t="str">
        <f t="shared" si="270"/>
        <v>كالاهاي مصرفي</v>
      </c>
      <c r="C2194" s="3" t="str">
        <f t="shared" si="271"/>
        <v>انبار مصرفي ZU1</v>
      </c>
      <c r="D2194" s="3" t="str">
        <f>"1002000219"</f>
        <v>1002000219</v>
      </c>
      <c r="E2194" s="3" t="str">
        <f>"ضامن تبديل دستي به موتوري گيربكس ولو"</f>
        <v>ضامن تبديل دستي به موتوري گيربكس ولو</v>
      </c>
      <c r="F2194" s="3" t="str">
        <f>"عدد"</f>
        <v>عدد</v>
      </c>
      <c r="G2194" s="3">
        <v>29</v>
      </c>
      <c r="H2194" s="5">
        <v>113100000</v>
      </c>
    </row>
    <row r="2195" spans="1:8" ht="18.75" x14ac:dyDescent="0.2">
      <c r="A2195" s="3" t="str">
        <f t="shared" si="269"/>
        <v>98/11/26</v>
      </c>
      <c r="B2195" s="3" t="str">
        <f t="shared" si="270"/>
        <v>كالاهاي مصرفي</v>
      </c>
      <c r="C2195" s="3" t="str">
        <f t="shared" si="271"/>
        <v>انبار مصرفي ZU1</v>
      </c>
      <c r="D2195" s="3" t="str">
        <f>"0204000137"</f>
        <v>0204000137</v>
      </c>
      <c r="E2195" s="3" t="str">
        <f>"پكينگ آبندي فشاري 20*20  تفلون گرافيتي"</f>
        <v>پكينگ آبندي فشاري 20*20  تفلون گرافيتي</v>
      </c>
      <c r="F2195" s="3" t="str">
        <f>"کيلوگرم"</f>
        <v>کيلوگرم</v>
      </c>
      <c r="G2195" s="3">
        <v>40</v>
      </c>
      <c r="H2195" s="5">
        <v>114000000</v>
      </c>
    </row>
    <row r="2196" spans="1:8" ht="18.75" x14ac:dyDescent="0.2">
      <c r="A2196" s="3" t="str">
        <f t="shared" si="269"/>
        <v>98/11/26</v>
      </c>
      <c r="B2196" s="3" t="str">
        <f t="shared" si="270"/>
        <v>كالاهاي مصرفي</v>
      </c>
      <c r="C2196" s="3" t="str">
        <f t="shared" si="271"/>
        <v>انبار مصرفي ZU1</v>
      </c>
      <c r="D2196" s="3" t="str">
        <f>"0204000505"</f>
        <v>0204000505</v>
      </c>
      <c r="E2196" s="3" t="str">
        <f>"ورقه تفلوني ( فتاراپلاست) ضخامت 2 ميلي متر"</f>
        <v>ورقه تفلوني ( فتاراپلاست) ضخامت 2 ميلي متر</v>
      </c>
      <c r="F2196" s="3" t="str">
        <f>"متر مربع"</f>
        <v>متر مربع</v>
      </c>
      <c r="G2196" s="3">
        <v>14</v>
      </c>
      <c r="H2196" s="5">
        <v>114100000</v>
      </c>
    </row>
    <row r="2197" spans="1:8" ht="18.75" x14ac:dyDescent="0.2">
      <c r="A2197" s="3" t="str">
        <f t="shared" si="269"/>
        <v>98/11/26</v>
      </c>
      <c r="B2197" s="3" t="str">
        <f t="shared" si="270"/>
        <v>كالاهاي مصرفي</v>
      </c>
      <c r="C2197" s="3" t="str">
        <f t="shared" si="271"/>
        <v>انبار مصرفي ZU1</v>
      </c>
      <c r="D2197" s="3" t="str">
        <f>"0204000472"</f>
        <v>0204000472</v>
      </c>
      <c r="E2197" s="3" t="str">
        <f>"گسكت مقاوم به بنزين و روغن ضخامت 3"</f>
        <v>گسكت مقاوم به بنزين و روغن ضخامت 3</v>
      </c>
      <c r="F2197" s="3" t="str">
        <f>"متر مربع"</f>
        <v>متر مربع</v>
      </c>
      <c r="G2197" s="3">
        <v>31</v>
      </c>
      <c r="H2197" s="5">
        <v>114152823</v>
      </c>
    </row>
    <row r="2198" spans="1:8" ht="18.75" x14ac:dyDescent="0.2">
      <c r="A2198" s="3" t="str">
        <f t="shared" si="269"/>
        <v>98/11/26</v>
      </c>
      <c r="B2198" s="3" t="str">
        <f t="shared" si="270"/>
        <v>كالاهاي مصرفي</v>
      </c>
      <c r="C2198" s="3" t="str">
        <f>"انبار مركزي ( عمومي )"</f>
        <v>انبار مركزي ( عمومي )</v>
      </c>
      <c r="D2198" s="3" t="str">
        <f>"0211000984"</f>
        <v>0211000984</v>
      </c>
      <c r="E2198" s="3" t="str">
        <f>"توپي قفل 7/5 سانتي"</f>
        <v>توپي قفل 7/5 سانتي</v>
      </c>
      <c r="F2198" s="3" t="str">
        <f>"عدد"</f>
        <v>عدد</v>
      </c>
      <c r="G2198" s="3">
        <v>443</v>
      </c>
      <c r="H2198" s="5">
        <v>115870856</v>
      </c>
    </row>
    <row r="2199" spans="1:8" ht="18.75" x14ac:dyDescent="0.2">
      <c r="A2199" s="3" t="str">
        <f t="shared" si="269"/>
        <v>98/11/26</v>
      </c>
      <c r="B2199" s="3" t="str">
        <f t="shared" si="270"/>
        <v>كالاهاي مصرفي</v>
      </c>
      <c r="C2199" s="3" t="str">
        <f>"انبار مصرفي ZU1"</f>
        <v>انبار مصرفي ZU1</v>
      </c>
      <c r="D2199" s="3" t="str">
        <f>"0204000400"</f>
        <v>0204000400</v>
      </c>
      <c r="E2199" s="3" t="str">
        <f>"بيرينگ 2Z/C3-6224"</f>
        <v>بيرينگ 2Z/C3-6224</v>
      </c>
      <c r="F2199" s="3" t="str">
        <f>"عدد"</f>
        <v>عدد</v>
      </c>
      <c r="G2199" s="3">
        <v>18</v>
      </c>
      <c r="H2199" s="5">
        <v>116500000</v>
      </c>
    </row>
    <row r="2200" spans="1:8" ht="18.75" x14ac:dyDescent="0.2">
      <c r="A2200" s="3" t="str">
        <f t="shared" si="269"/>
        <v>98/11/26</v>
      </c>
      <c r="B2200" s="3" t="str">
        <f t="shared" si="270"/>
        <v>كالاهاي مصرفي</v>
      </c>
      <c r="C2200" s="3" t="str">
        <f>"انبار مركزي ( عمومي )"</f>
        <v>انبار مركزي ( عمومي )</v>
      </c>
      <c r="D2200" s="3" t="str">
        <f>"0212000022"</f>
        <v>0212000022</v>
      </c>
      <c r="E2200" s="3" t="str">
        <f>"ورق تكستوليت 2mm"</f>
        <v>ورق تكستوليت 2mm</v>
      </c>
      <c r="F2200" s="3" t="str">
        <f>"کيلوگرم"</f>
        <v>کيلوگرم</v>
      </c>
      <c r="G2200" s="3">
        <v>33</v>
      </c>
      <c r="H2200" s="5">
        <v>118500000</v>
      </c>
    </row>
    <row r="2201" spans="1:8" ht="18.75" x14ac:dyDescent="0.2">
      <c r="A2201" s="3" t="str">
        <f t="shared" si="269"/>
        <v>98/11/26</v>
      </c>
      <c r="B2201" s="3" t="str">
        <f t="shared" si="270"/>
        <v>كالاهاي مصرفي</v>
      </c>
      <c r="C2201" s="3" t="str">
        <f>"انبار مصرفي ZU1"</f>
        <v>انبار مصرفي ZU1</v>
      </c>
      <c r="D2201" s="3" t="str">
        <f>"0106000129"</f>
        <v>0106000129</v>
      </c>
      <c r="E2201" s="3" t="str">
        <f>"روغن Shell Turbo T32  بشكه 209 ليتري"</f>
        <v>روغن Shell Turbo T32  بشكه 209 ليتري</v>
      </c>
      <c r="F2201" s="3" t="str">
        <f>"بشكه"</f>
        <v>بشكه</v>
      </c>
      <c r="G2201" s="3">
        <v>6</v>
      </c>
      <c r="H2201" s="5">
        <v>118940000</v>
      </c>
    </row>
    <row r="2202" spans="1:8" ht="18.75" x14ac:dyDescent="0.2">
      <c r="A2202" s="3" t="str">
        <f t="shared" si="269"/>
        <v>98/11/26</v>
      </c>
      <c r="B2202" s="3" t="str">
        <f t="shared" si="270"/>
        <v>كالاهاي مصرفي</v>
      </c>
      <c r="C2202" s="3" t="str">
        <f>"انبار مصرفي ZU1"</f>
        <v>انبار مصرفي ZU1</v>
      </c>
      <c r="D2202" s="3" t="str">
        <f>"0204000609"</f>
        <v>0204000609</v>
      </c>
      <c r="E2202" s="3" t="str">
        <f>"بيرينگ 6330-C3"</f>
        <v>بيرينگ 6330-C3</v>
      </c>
      <c r="F2202" s="3" t="str">
        <f>"عدد"</f>
        <v>عدد</v>
      </c>
      <c r="G2202" s="3">
        <v>1</v>
      </c>
      <c r="H2202" s="5">
        <v>119600000</v>
      </c>
    </row>
    <row r="2203" spans="1:8" ht="18.75" x14ac:dyDescent="0.2">
      <c r="A2203" s="3" t="str">
        <f t="shared" si="269"/>
        <v>98/11/26</v>
      </c>
      <c r="B2203" s="3" t="str">
        <f t="shared" si="270"/>
        <v>كالاهاي مصرفي</v>
      </c>
      <c r="C2203" s="3" t="str">
        <f>"انبار مصرفي ZU1"</f>
        <v>انبار مصرفي ZU1</v>
      </c>
      <c r="D2203" s="3" t="str">
        <f>"0303000273"</f>
        <v>0303000273</v>
      </c>
      <c r="E2203" s="3" t="str">
        <f>"تست گيج (0-100) bar"</f>
        <v>تست گيج (0-100) bar</v>
      </c>
      <c r="F2203" s="3" t="str">
        <f>"عدد"</f>
        <v>عدد</v>
      </c>
      <c r="G2203" s="3">
        <v>6</v>
      </c>
      <c r="H2203" s="5">
        <v>120000000</v>
      </c>
    </row>
    <row r="2204" spans="1:8" ht="18.75" x14ac:dyDescent="0.2">
      <c r="A2204" s="3" t="str">
        <f t="shared" si="269"/>
        <v>98/11/26</v>
      </c>
      <c r="B2204" s="3" t="str">
        <f t="shared" si="270"/>
        <v>كالاهاي مصرفي</v>
      </c>
      <c r="C2204" s="3" t="str">
        <f>"انبار مركزي ( عمومي )"</f>
        <v>انبار مركزي ( عمومي )</v>
      </c>
      <c r="D2204" s="3" t="str">
        <f>"0602000050"</f>
        <v>0602000050</v>
      </c>
      <c r="E2204" s="3" t="str">
        <f>"انكر بولت 170/30*M20"</f>
        <v>انكر بولت 170/30*M20</v>
      </c>
      <c r="F2204" s="3" t="str">
        <f>"عدد"</f>
        <v>عدد</v>
      </c>
      <c r="G2204" s="3">
        <v>80</v>
      </c>
      <c r="H2204" s="5">
        <v>120000000</v>
      </c>
    </row>
    <row r="2205" spans="1:8" ht="18.75" x14ac:dyDescent="0.2">
      <c r="A2205" s="3" t="str">
        <f t="shared" si="269"/>
        <v>98/11/26</v>
      </c>
      <c r="B2205" s="3" t="str">
        <f t="shared" si="270"/>
        <v>كالاهاي مصرفي</v>
      </c>
      <c r="C2205" s="3" t="str">
        <f>"انبار مركزي ( عمومي )"</f>
        <v>انبار مركزي ( عمومي )</v>
      </c>
      <c r="D2205" s="3" t="str">
        <f>"0101000095"</f>
        <v>0101000095</v>
      </c>
      <c r="E2205" s="3" t="str">
        <f>"ملات آتش بند"</f>
        <v>ملات آتش بند</v>
      </c>
      <c r="F2205" s="3" t="str">
        <f>"کيلوگرم"</f>
        <v>کيلوگرم</v>
      </c>
      <c r="G2205" s="3">
        <v>400</v>
      </c>
      <c r="H2205" s="5">
        <v>120111111</v>
      </c>
    </row>
    <row r="2206" spans="1:8" ht="18.75" x14ac:dyDescent="0.2">
      <c r="A2206" s="3" t="str">
        <f t="shared" si="269"/>
        <v>98/11/26</v>
      </c>
      <c r="B2206" s="3" t="str">
        <f t="shared" si="270"/>
        <v>كالاهاي مصرفي</v>
      </c>
      <c r="C2206" s="3" t="str">
        <f>"انبار مصرفي ZU1"</f>
        <v>انبار مصرفي ZU1</v>
      </c>
      <c r="D2206" s="3" t="str">
        <f>"0106000122"</f>
        <v>0106000122</v>
      </c>
      <c r="E2206" s="3" t="str">
        <f>"روغن 827 Mobil Rarus سطل 20 ليتري"</f>
        <v>روغن 827 Mobil Rarus سطل 20 ليتري</v>
      </c>
      <c r="F2206" s="3" t="str">
        <f>"سطل"</f>
        <v>سطل</v>
      </c>
      <c r="G2206" s="3">
        <v>6</v>
      </c>
      <c r="H2206" s="5">
        <v>120112000</v>
      </c>
    </row>
    <row r="2207" spans="1:8" ht="18.75" x14ac:dyDescent="0.2">
      <c r="A2207" s="3" t="str">
        <f t="shared" si="269"/>
        <v>98/11/26</v>
      </c>
      <c r="B2207" s="3" t="str">
        <f t="shared" si="270"/>
        <v>كالاهاي مصرفي</v>
      </c>
      <c r="C2207" s="3" t="str">
        <f>"انبار مركزي ( عمومي )"</f>
        <v>انبار مركزي ( عمومي )</v>
      </c>
      <c r="D2207" s="3" t="str">
        <f>"0212000077"</f>
        <v>0212000077</v>
      </c>
      <c r="E2207" s="3" t="str">
        <f>"نوار عايق گازي سفيد 50 ميل"</f>
        <v>نوار عايق گازي سفيد 50 ميل</v>
      </c>
      <c r="F2207" s="3" t="str">
        <f>"متر"</f>
        <v>متر</v>
      </c>
      <c r="G2207" s="3">
        <v>2250</v>
      </c>
      <c r="H2207" s="5">
        <v>120387931</v>
      </c>
    </row>
    <row r="2208" spans="1:8" ht="18.75" x14ac:dyDescent="0.2">
      <c r="A2208" s="3" t="str">
        <f t="shared" si="269"/>
        <v>98/11/26</v>
      </c>
      <c r="B2208" s="3" t="str">
        <f t="shared" si="270"/>
        <v>كالاهاي مصرفي</v>
      </c>
      <c r="C2208" s="3" t="str">
        <f t="shared" ref="C2208:C2216" si="272">"انبار مصرفي ZU1"</f>
        <v>انبار مصرفي ZU1</v>
      </c>
      <c r="D2208" s="3" t="str">
        <f>"0204000259"</f>
        <v>0204000259</v>
      </c>
      <c r="E2208" s="3" t="str">
        <f>"پكينگ آبندي فشاري12*12 گرافيت خالص"</f>
        <v>پكينگ آبندي فشاري12*12 گرافيت خالص</v>
      </c>
      <c r="F2208" s="3" t="str">
        <f>"کيلوگرم"</f>
        <v>کيلوگرم</v>
      </c>
      <c r="G2208" s="3">
        <v>75</v>
      </c>
      <c r="H2208" s="5">
        <v>123750000</v>
      </c>
    </row>
    <row r="2209" spans="1:8" ht="18.75" x14ac:dyDescent="0.2">
      <c r="A2209" s="3" t="str">
        <f t="shared" si="269"/>
        <v>98/11/26</v>
      </c>
      <c r="B2209" s="3" t="str">
        <f t="shared" si="270"/>
        <v>كالاهاي مصرفي</v>
      </c>
      <c r="C2209" s="3" t="str">
        <f t="shared" si="272"/>
        <v>انبار مصرفي ZU1</v>
      </c>
      <c r="D2209" s="3" t="str">
        <f>"0209000443"</f>
        <v>0209000443</v>
      </c>
      <c r="E2209" s="3" t="str">
        <f>"پوسته ياتاقان SN314"</f>
        <v>پوسته ياتاقان SN314</v>
      </c>
      <c r="F2209" s="3" t="str">
        <f>"عدد"</f>
        <v>عدد</v>
      </c>
      <c r="G2209" s="3">
        <v>10</v>
      </c>
      <c r="H2209" s="5">
        <v>124000000</v>
      </c>
    </row>
    <row r="2210" spans="1:8" ht="18.75" x14ac:dyDescent="0.2">
      <c r="A2210" s="3" t="str">
        <f t="shared" si="269"/>
        <v>98/11/26</v>
      </c>
      <c r="B2210" s="3" t="str">
        <f t="shared" si="270"/>
        <v>كالاهاي مصرفي</v>
      </c>
      <c r="C2210" s="3" t="str">
        <f t="shared" si="272"/>
        <v>انبار مصرفي ZU1</v>
      </c>
      <c r="D2210" s="3" t="str">
        <f>"0106000071"</f>
        <v>0106000071</v>
      </c>
      <c r="E2210" s="3" t="str">
        <f>"گريس هادي(601) اوراپي"</f>
        <v>گريس هادي(601) اوراپي</v>
      </c>
      <c r="F2210" s="3" t="str">
        <f>"کيلوگرم"</f>
        <v>کيلوگرم</v>
      </c>
      <c r="G2210" s="3">
        <v>15</v>
      </c>
      <c r="H2210" s="5">
        <v>124500000</v>
      </c>
    </row>
    <row r="2211" spans="1:8" ht="18.75" x14ac:dyDescent="0.2">
      <c r="A2211" s="3" t="str">
        <f t="shared" si="269"/>
        <v>98/11/26</v>
      </c>
      <c r="B2211" s="3" t="str">
        <f t="shared" si="270"/>
        <v>كالاهاي مصرفي</v>
      </c>
      <c r="C2211" s="3" t="str">
        <f t="shared" si="272"/>
        <v>انبار مصرفي ZU1</v>
      </c>
      <c r="D2211" s="3" t="str">
        <f>"0215000174"</f>
        <v>0215000174</v>
      </c>
      <c r="E2211" s="3" t="str">
        <f>"فيلتر  روغن گيربكس چيلر VS"</f>
        <v>فيلتر  روغن گيربكس چيلر VS</v>
      </c>
      <c r="F2211" s="3" t="str">
        <f>"عدد"</f>
        <v>عدد</v>
      </c>
      <c r="G2211" s="3">
        <v>19</v>
      </c>
      <c r="H2211" s="5">
        <v>125400000</v>
      </c>
    </row>
    <row r="2212" spans="1:8" ht="18.75" x14ac:dyDescent="0.2">
      <c r="A2212" s="3" t="str">
        <f t="shared" si="269"/>
        <v>98/11/26</v>
      </c>
      <c r="B2212" s="3" t="str">
        <f t="shared" si="270"/>
        <v>كالاهاي مصرفي</v>
      </c>
      <c r="C2212" s="3" t="str">
        <f t="shared" si="272"/>
        <v>انبار مصرفي ZU1</v>
      </c>
      <c r="D2212" s="3" t="str">
        <f>"0209000113"</f>
        <v>0209000113</v>
      </c>
      <c r="E2212" s="3" t="str">
        <f>"شافت پمپ"</f>
        <v>شافت پمپ</v>
      </c>
      <c r="F2212" s="3" t="str">
        <f>"عدد"</f>
        <v>عدد</v>
      </c>
      <c r="G2212" s="3">
        <v>5</v>
      </c>
      <c r="H2212" s="5">
        <v>125640000</v>
      </c>
    </row>
    <row r="2213" spans="1:8" ht="18.75" x14ac:dyDescent="0.2">
      <c r="A2213" s="3" t="str">
        <f t="shared" si="269"/>
        <v>98/11/26</v>
      </c>
      <c r="B2213" s="3" t="str">
        <f t="shared" si="270"/>
        <v>كالاهاي مصرفي</v>
      </c>
      <c r="C2213" s="3" t="str">
        <f t="shared" si="272"/>
        <v>انبار مصرفي ZU1</v>
      </c>
      <c r="D2213" s="3" t="str">
        <f>"0204001424"</f>
        <v>0204001424</v>
      </c>
      <c r="E2213" s="3" t="str">
        <f>"بوش فلزي فيلتر VB"</f>
        <v>بوش فلزي فيلتر VB</v>
      </c>
      <c r="F2213" s="3" t="str">
        <f>"عدد"</f>
        <v>عدد</v>
      </c>
      <c r="G2213" s="3">
        <v>44</v>
      </c>
      <c r="H2213" s="5">
        <v>127600000</v>
      </c>
    </row>
    <row r="2214" spans="1:8" ht="18.75" x14ac:dyDescent="0.2">
      <c r="A2214" s="3" t="str">
        <f t="shared" si="269"/>
        <v>98/11/26</v>
      </c>
      <c r="B2214" s="3" t="str">
        <f t="shared" si="270"/>
        <v>كالاهاي مصرفي</v>
      </c>
      <c r="C2214" s="3" t="str">
        <f t="shared" si="272"/>
        <v>انبار مصرفي ZU1</v>
      </c>
      <c r="D2214" s="3" t="str">
        <f>"0208000009"</f>
        <v>0208000009</v>
      </c>
      <c r="E2214" s="3" t="str">
        <f>"توري نجات كار در ارتفاع"</f>
        <v>توري نجات كار در ارتفاع</v>
      </c>
      <c r="F2214" s="3" t="str">
        <f>"دست"</f>
        <v>دست</v>
      </c>
      <c r="G2214" s="3">
        <v>7</v>
      </c>
      <c r="H2214" s="5">
        <v>128100000</v>
      </c>
    </row>
    <row r="2215" spans="1:8" ht="18.75" x14ac:dyDescent="0.2">
      <c r="A2215" s="3" t="str">
        <f t="shared" si="269"/>
        <v>98/11/26</v>
      </c>
      <c r="B2215" s="3" t="str">
        <f t="shared" si="270"/>
        <v>كالاهاي مصرفي</v>
      </c>
      <c r="C2215" s="3" t="str">
        <f t="shared" si="272"/>
        <v>انبار مصرفي ZU1</v>
      </c>
      <c r="D2215" s="3" t="str">
        <f>"0204000243"</f>
        <v>0204000243</v>
      </c>
      <c r="E2215" s="3" t="str">
        <f>"پكينگ آبندي فشاري 16* 16تفلون گرافيتي"</f>
        <v>پكينگ آبندي فشاري 16* 16تفلون گرافيتي</v>
      </c>
      <c r="F2215" s="3" t="str">
        <f>"کيلوگرم"</f>
        <v>کيلوگرم</v>
      </c>
      <c r="G2215" s="3">
        <v>45</v>
      </c>
      <c r="H2215" s="5">
        <v>128250000</v>
      </c>
    </row>
    <row r="2216" spans="1:8" ht="18.75" x14ac:dyDescent="0.2">
      <c r="A2216" s="3" t="str">
        <f t="shared" si="269"/>
        <v>98/11/26</v>
      </c>
      <c r="B2216" s="3" t="str">
        <f t="shared" si="270"/>
        <v>كالاهاي مصرفي</v>
      </c>
      <c r="C2216" s="3" t="str">
        <f t="shared" si="272"/>
        <v>انبار مصرفي ZU1</v>
      </c>
      <c r="D2216" s="3" t="str">
        <f>"0204000271"</f>
        <v>0204000271</v>
      </c>
      <c r="E2216" s="3" t="str">
        <f>"پكينگ آبندي فشاري 12* 12تفلون گرافيتي"</f>
        <v>پكينگ آبندي فشاري 12* 12تفلون گرافيتي</v>
      </c>
      <c r="F2216" s="3" t="str">
        <f>"کيلوگرم"</f>
        <v>کيلوگرم</v>
      </c>
      <c r="G2216" s="3">
        <v>45</v>
      </c>
      <c r="H2216" s="5">
        <v>128250000</v>
      </c>
    </row>
    <row r="2217" spans="1:8" ht="18.75" x14ac:dyDescent="0.2">
      <c r="A2217" s="3" t="str">
        <f t="shared" si="269"/>
        <v>98/11/26</v>
      </c>
      <c r="B2217" s="3" t="str">
        <f t="shared" si="270"/>
        <v>كالاهاي مصرفي</v>
      </c>
      <c r="C2217" s="3" t="str">
        <f>"انبار مركزي ( عمومي )"</f>
        <v>انبار مركزي ( عمومي )</v>
      </c>
      <c r="D2217" s="3" t="str">
        <f>"0211000825"</f>
        <v>0211000825</v>
      </c>
      <c r="E2217" s="3" t="str">
        <f>"ورق مولتي استايل 60 * 120 ضخامت 2 ميل بدون برچسب"</f>
        <v>ورق مولتي استايل 60 * 120 ضخامت 2 ميل بدون برچسب</v>
      </c>
      <c r="F2217" s="3" t="str">
        <f>"برگ"</f>
        <v>برگ</v>
      </c>
      <c r="G2217" s="3">
        <v>275</v>
      </c>
      <c r="H2217" s="5">
        <v>131083333</v>
      </c>
    </row>
    <row r="2218" spans="1:8" ht="18.75" x14ac:dyDescent="0.2">
      <c r="A2218" s="3" t="str">
        <f t="shared" si="269"/>
        <v>98/11/26</v>
      </c>
      <c r="B2218" s="3" t="str">
        <f t="shared" si="270"/>
        <v>كالاهاي مصرفي</v>
      </c>
      <c r="C2218" s="3" t="str">
        <f t="shared" ref="C2218:C2231" si="273">"انبار مصرفي ZU1"</f>
        <v>انبار مصرفي ZU1</v>
      </c>
      <c r="D2218" s="3" t="str">
        <f>"0204001127"</f>
        <v>0204001127</v>
      </c>
      <c r="E2218" s="3" t="str">
        <f>"صفحات لاستيك آببندي مقاوم در مقابل محيط اسيدي،بازي ضخامت 5"</f>
        <v>صفحات لاستيك آببندي مقاوم در مقابل محيط اسيدي،بازي ضخامت 5</v>
      </c>
      <c r="F2218" s="3" t="str">
        <f>"متر مربع"</f>
        <v>متر مربع</v>
      </c>
      <c r="G2218" s="3">
        <v>36</v>
      </c>
      <c r="H2218" s="5">
        <v>133200000</v>
      </c>
    </row>
    <row r="2219" spans="1:8" ht="18.75" x14ac:dyDescent="0.2">
      <c r="A2219" s="3" t="str">
        <f t="shared" si="269"/>
        <v>98/11/26</v>
      </c>
      <c r="B2219" s="3" t="str">
        <f t="shared" si="270"/>
        <v>كالاهاي مصرفي</v>
      </c>
      <c r="C2219" s="3" t="str">
        <f t="shared" si="273"/>
        <v>انبار مصرفي ZU1</v>
      </c>
      <c r="D2219" s="3" t="str">
        <f>"0211000109"</f>
        <v>0211000109</v>
      </c>
      <c r="E2219" s="3" t="str">
        <f>"فنر شير اطمينان"</f>
        <v>فنر شير اطمينان</v>
      </c>
      <c r="F2219" s="3" t="str">
        <f>"عدد"</f>
        <v>عدد</v>
      </c>
      <c r="G2219" s="3">
        <v>15</v>
      </c>
      <c r="H2219" s="5">
        <v>135746753</v>
      </c>
    </row>
    <row r="2220" spans="1:8" ht="18.75" x14ac:dyDescent="0.2">
      <c r="A2220" s="3" t="str">
        <f t="shared" si="269"/>
        <v>98/11/26</v>
      </c>
      <c r="B2220" s="3" t="str">
        <f t="shared" si="270"/>
        <v>كالاهاي مصرفي</v>
      </c>
      <c r="C2220" s="3" t="str">
        <f t="shared" si="273"/>
        <v>انبار مصرفي ZU1</v>
      </c>
      <c r="D2220" s="3" t="str">
        <f>"0204001925"</f>
        <v>0204001925</v>
      </c>
      <c r="E2220" s="3" t="str">
        <f>"NU230 EM/C3 بيرينگ"</f>
        <v>NU230 EM/C3 بيرينگ</v>
      </c>
      <c r="F2220" s="3" t="str">
        <f>"عدد"</f>
        <v>عدد</v>
      </c>
      <c r="G2220" s="3">
        <v>10</v>
      </c>
      <c r="H2220" s="5">
        <v>136000000</v>
      </c>
    </row>
    <row r="2221" spans="1:8" ht="18.75" x14ac:dyDescent="0.2">
      <c r="A2221" s="3" t="str">
        <f t="shared" si="269"/>
        <v>98/11/26</v>
      </c>
      <c r="B2221" s="3" t="str">
        <f t="shared" si="270"/>
        <v>كالاهاي مصرفي</v>
      </c>
      <c r="C2221" s="3" t="str">
        <f t="shared" si="273"/>
        <v>انبار مصرفي ZU1</v>
      </c>
      <c r="D2221" s="3" t="str">
        <f>"0214000225"</f>
        <v>0214000225</v>
      </c>
      <c r="E2221" s="3" t="str">
        <f>"ورقه تفلوني ( فتاراپلاست)  ضخامت  4 ميلي متر"</f>
        <v>ورقه تفلوني ( فتاراپلاست)  ضخامت  4 ميلي متر</v>
      </c>
      <c r="F2221" s="3" t="str">
        <f>"متر مربع"</f>
        <v>متر مربع</v>
      </c>
      <c r="G2221" s="3">
        <v>10</v>
      </c>
      <c r="H2221" s="5">
        <v>136833334</v>
      </c>
    </row>
    <row r="2222" spans="1:8" ht="18.75" x14ac:dyDescent="0.2">
      <c r="A2222" s="3" t="str">
        <f t="shared" si="269"/>
        <v>98/11/26</v>
      </c>
      <c r="B2222" s="3" t="str">
        <f t="shared" si="270"/>
        <v>كالاهاي مصرفي</v>
      </c>
      <c r="C2222" s="3" t="str">
        <f t="shared" si="273"/>
        <v>انبار مصرفي ZU1</v>
      </c>
      <c r="D2222" s="3" t="str">
        <f>"0601000027"</f>
        <v>0601000027</v>
      </c>
      <c r="E2222" s="3" t="str">
        <f>"دستكش كار  برزنتي"</f>
        <v>دستكش كار  برزنتي</v>
      </c>
      <c r="F2222" s="3" t="str">
        <f>"جفت"</f>
        <v>جفت</v>
      </c>
      <c r="G2222" s="3">
        <v>1316</v>
      </c>
      <c r="H2222" s="5">
        <v>138180000</v>
      </c>
    </row>
    <row r="2223" spans="1:8" ht="18.75" x14ac:dyDescent="0.2">
      <c r="A2223" s="3" t="str">
        <f t="shared" si="269"/>
        <v>98/11/26</v>
      </c>
      <c r="B2223" s="3" t="str">
        <f t="shared" si="270"/>
        <v>كالاهاي مصرفي</v>
      </c>
      <c r="C2223" s="3" t="str">
        <f t="shared" si="273"/>
        <v>انبار مصرفي ZU1</v>
      </c>
      <c r="D2223" s="3" t="str">
        <f>"0213000438"</f>
        <v>0213000438</v>
      </c>
      <c r="E2223" s="3" t="str">
        <f>"پيچ گوشواره اي M42*6"</f>
        <v>پيچ گوشواره اي M42*6</v>
      </c>
      <c r="F2223" s="3" t="str">
        <f>"عدد"</f>
        <v>عدد</v>
      </c>
      <c r="G2223" s="3">
        <v>90</v>
      </c>
      <c r="H2223" s="5">
        <v>139162714</v>
      </c>
    </row>
    <row r="2224" spans="1:8" ht="18.75" x14ac:dyDescent="0.2">
      <c r="A2224" s="3" t="str">
        <f t="shared" si="269"/>
        <v>98/11/26</v>
      </c>
      <c r="B2224" s="3" t="str">
        <f t="shared" si="270"/>
        <v>كالاهاي مصرفي</v>
      </c>
      <c r="C2224" s="3" t="str">
        <f t="shared" si="273"/>
        <v>انبار مصرفي ZU1</v>
      </c>
      <c r="D2224" s="3" t="str">
        <f>"0203000303"</f>
        <v>0203000303</v>
      </c>
      <c r="E2224" s="3" t="str">
        <f>"كاتد فدا شونده متوسط تيپ 4"</f>
        <v>كاتد فدا شونده متوسط تيپ 4</v>
      </c>
      <c r="F2224" s="3" t="str">
        <f>"عدد"</f>
        <v>عدد</v>
      </c>
      <c r="G2224" s="3">
        <v>48</v>
      </c>
      <c r="H2224" s="5">
        <v>139200000</v>
      </c>
    </row>
    <row r="2225" spans="1:8" ht="18.75" x14ac:dyDescent="0.2">
      <c r="A2225" s="3" t="str">
        <f t="shared" si="269"/>
        <v>98/11/26</v>
      </c>
      <c r="B2225" s="3" t="str">
        <f t="shared" si="270"/>
        <v>كالاهاي مصرفي</v>
      </c>
      <c r="C2225" s="3" t="str">
        <f t="shared" si="273"/>
        <v>انبار مصرفي ZU1</v>
      </c>
      <c r="D2225" s="3" t="str">
        <f>"0204001126"</f>
        <v>0204001126</v>
      </c>
      <c r="E2225" s="3" t="str">
        <f>"صفحات لاستيك آببندي مقاوم در مقابل محيط اسيدي،بازي و روغن ضخامت 4"</f>
        <v>صفحات لاستيك آببندي مقاوم در مقابل محيط اسيدي،بازي و روغن ضخامت 4</v>
      </c>
      <c r="F2225" s="3" t="str">
        <f>"متر مربع"</f>
        <v>متر مربع</v>
      </c>
      <c r="G2225" s="3">
        <v>48</v>
      </c>
      <c r="H2225" s="5">
        <v>139200000</v>
      </c>
    </row>
    <row r="2226" spans="1:8" ht="18.75" x14ac:dyDescent="0.2">
      <c r="A2226" s="3" t="str">
        <f t="shared" si="269"/>
        <v>98/11/26</v>
      </c>
      <c r="B2226" s="3" t="str">
        <f t="shared" si="270"/>
        <v>كالاهاي مصرفي</v>
      </c>
      <c r="C2226" s="3" t="str">
        <f t="shared" si="273"/>
        <v>انبار مصرفي ZU1</v>
      </c>
      <c r="D2226" s="3" t="str">
        <f>"0102000005"</f>
        <v>0102000005</v>
      </c>
      <c r="E2226" s="3" t="str">
        <f>"رنگ EP-5285, Ral-7035"</f>
        <v>رنگ EP-5285, Ral-7035</v>
      </c>
      <c r="F2226" s="3" t="str">
        <f>"کيلوگرم"</f>
        <v>کيلوگرم</v>
      </c>
      <c r="G2226" s="3">
        <v>150</v>
      </c>
      <c r="H2226" s="5">
        <v>140250000</v>
      </c>
    </row>
    <row r="2227" spans="1:8" ht="18.75" x14ac:dyDescent="0.2">
      <c r="A2227" s="3" t="str">
        <f t="shared" si="269"/>
        <v>98/11/26</v>
      </c>
      <c r="B2227" s="3" t="str">
        <f t="shared" si="270"/>
        <v>كالاهاي مصرفي</v>
      </c>
      <c r="C2227" s="3" t="str">
        <f t="shared" si="273"/>
        <v>انبار مصرفي ZU1</v>
      </c>
      <c r="D2227" s="3" t="str">
        <f>"0102000187"</f>
        <v>0102000187</v>
      </c>
      <c r="E2227" s="3" t="str">
        <f>"رنگ EP-5285, Ral-5017"</f>
        <v>رنگ EP-5285, Ral-5017</v>
      </c>
      <c r="F2227" s="3" t="str">
        <f>"کيلوگرم"</f>
        <v>کيلوگرم</v>
      </c>
      <c r="G2227" s="3">
        <v>150</v>
      </c>
      <c r="H2227" s="5">
        <v>140250000</v>
      </c>
    </row>
    <row r="2228" spans="1:8" ht="18.75" x14ac:dyDescent="0.2">
      <c r="A2228" s="3" t="str">
        <f t="shared" si="269"/>
        <v>98/11/26</v>
      </c>
      <c r="B2228" s="3" t="str">
        <f t="shared" si="270"/>
        <v>كالاهاي مصرفي</v>
      </c>
      <c r="C2228" s="3" t="str">
        <f t="shared" si="273"/>
        <v>انبار مصرفي ZU1</v>
      </c>
      <c r="D2228" s="3" t="str">
        <f>"0211000314"</f>
        <v>0211000314</v>
      </c>
      <c r="E2228" s="3" t="str">
        <f>"درپوش پمپ قطر 1600 ميليمتر ضخامت 44 ميليمتر"</f>
        <v>درپوش پمپ قطر 1600 ميليمتر ضخامت 44 ميليمتر</v>
      </c>
      <c r="F2228" s="3" t="str">
        <f>"عدد"</f>
        <v>عدد</v>
      </c>
      <c r="G2228" s="3">
        <v>1</v>
      </c>
      <c r="H2228" s="5">
        <v>141750000</v>
      </c>
    </row>
    <row r="2229" spans="1:8" ht="18.75" x14ac:dyDescent="0.2">
      <c r="A2229" s="3" t="str">
        <f t="shared" si="269"/>
        <v>98/11/26</v>
      </c>
      <c r="B2229" s="3" t="str">
        <f t="shared" si="270"/>
        <v>كالاهاي مصرفي</v>
      </c>
      <c r="C2229" s="3" t="str">
        <f t="shared" si="273"/>
        <v>انبار مصرفي ZU1</v>
      </c>
      <c r="D2229" s="3" t="str">
        <f>"0204001084"</f>
        <v>0204001084</v>
      </c>
      <c r="E2229" s="3" t="str">
        <f>"گردگير لاستيکي مقاوم در برابر روغن و حرارت 120 درجه سانتي گراد"</f>
        <v>گردگير لاستيکي مقاوم در برابر روغن و حرارت 120 درجه سانتي گراد</v>
      </c>
      <c r="F2229" s="3" t="str">
        <f>"عدد"</f>
        <v>عدد</v>
      </c>
      <c r="G2229" s="3">
        <v>384</v>
      </c>
      <c r="H2229" s="5">
        <v>143654400</v>
      </c>
    </row>
    <row r="2230" spans="1:8" ht="18.75" x14ac:dyDescent="0.2">
      <c r="A2230" s="3" t="str">
        <f t="shared" si="269"/>
        <v>98/11/26</v>
      </c>
      <c r="B2230" s="3" t="str">
        <f t="shared" si="270"/>
        <v>كالاهاي مصرفي</v>
      </c>
      <c r="C2230" s="3" t="str">
        <f t="shared" si="273"/>
        <v>انبار مصرفي ZU1</v>
      </c>
      <c r="D2230" s="3" t="str">
        <f>"0204001147"</f>
        <v>0204001147</v>
      </c>
      <c r="E2230" s="3" t="str">
        <f>"گسکت گرافيتي ضخامت 4 ميليمتر"</f>
        <v>گسکت گرافيتي ضخامت 4 ميليمتر</v>
      </c>
      <c r="F2230" s="3" t="str">
        <f>"متر مربع"</f>
        <v>متر مربع</v>
      </c>
      <c r="G2230" s="3">
        <v>38.5</v>
      </c>
      <c r="H2230" s="5">
        <v>143990000</v>
      </c>
    </row>
    <row r="2231" spans="1:8" ht="18.75" x14ac:dyDescent="0.2">
      <c r="A2231" s="3" t="str">
        <f t="shared" si="269"/>
        <v>98/11/26</v>
      </c>
      <c r="B2231" s="3" t="str">
        <f t="shared" si="270"/>
        <v>كالاهاي مصرفي</v>
      </c>
      <c r="C2231" s="3" t="str">
        <f t="shared" si="273"/>
        <v>انبار مصرفي ZU1</v>
      </c>
      <c r="D2231" s="3" t="str">
        <f>"0204000270"</f>
        <v>0204000270</v>
      </c>
      <c r="E2231" s="3" t="str">
        <f>"پكينگ آبندي فشاري 10* 10تفلون گرافيتي"</f>
        <v>پكينگ آبندي فشاري 10* 10تفلون گرافيتي</v>
      </c>
      <c r="F2231" s="3" t="str">
        <f>"کيلوگرم"</f>
        <v>کيلوگرم</v>
      </c>
      <c r="G2231" s="3">
        <v>55.2</v>
      </c>
      <c r="H2231" s="5">
        <v>144213451</v>
      </c>
    </row>
    <row r="2232" spans="1:8" ht="18.75" x14ac:dyDescent="0.2">
      <c r="A2232" s="3" t="str">
        <f t="shared" si="269"/>
        <v>98/11/26</v>
      </c>
      <c r="B2232" s="3" t="str">
        <f t="shared" si="270"/>
        <v>كالاهاي مصرفي</v>
      </c>
      <c r="C2232" s="3" t="str">
        <f>"انبار مركزي ( عمومي )"</f>
        <v>انبار مركزي ( عمومي )</v>
      </c>
      <c r="D2232" s="3" t="str">
        <f>"0213000629"</f>
        <v>0213000629</v>
      </c>
      <c r="E2232" s="3" t="str">
        <f>"مته  آهن ست كامل"</f>
        <v>مته  آهن ست كامل</v>
      </c>
      <c r="F2232" s="3" t="str">
        <f>"دست"</f>
        <v>دست</v>
      </c>
      <c r="G2232" s="3">
        <v>11</v>
      </c>
      <c r="H2232" s="5">
        <v>144776924</v>
      </c>
    </row>
    <row r="2233" spans="1:8" ht="18.75" x14ac:dyDescent="0.2">
      <c r="A2233" s="3" t="str">
        <f t="shared" si="269"/>
        <v>98/11/26</v>
      </c>
      <c r="B2233" s="3" t="str">
        <f t="shared" si="270"/>
        <v>كالاهاي مصرفي</v>
      </c>
      <c r="C2233" s="3" t="str">
        <f>"انبار مصرفي ZU1"</f>
        <v>انبار مصرفي ZU1</v>
      </c>
      <c r="D2233" s="3" t="str">
        <f>"0209000153"</f>
        <v>0209000153</v>
      </c>
      <c r="E2233" s="3" t="str">
        <f>"Bush  Shaft  VC010"</f>
        <v>Bush  Shaft  VC010</v>
      </c>
      <c r="F2233" s="3" t="str">
        <f>"عدد"</f>
        <v>عدد</v>
      </c>
      <c r="G2233" s="3">
        <v>1</v>
      </c>
      <c r="H2233" s="5">
        <v>145000000</v>
      </c>
    </row>
    <row r="2234" spans="1:8" ht="18.75" x14ac:dyDescent="0.2">
      <c r="A2234" s="3" t="str">
        <f t="shared" si="269"/>
        <v>98/11/26</v>
      </c>
      <c r="B2234" s="3" t="str">
        <f t="shared" si="270"/>
        <v>كالاهاي مصرفي</v>
      </c>
      <c r="C2234" s="3" t="str">
        <f>"انبار مركزي ( عمومي )"</f>
        <v>انبار مركزي ( عمومي )</v>
      </c>
      <c r="D2234" s="3" t="str">
        <f>"0211000667"</f>
        <v>0211000667</v>
      </c>
      <c r="E2234" s="3" t="str">
        <f>"پرده كركره اي افقي در سايزهاي مختلف"</f>
        <v>پرده كركره اي افقي در سايزهاي مختلف</v>
      </c>
      <c r="F2234" s="3" t="str">
        <f>"عدد"</f>
        <v>عدد</v>
      </c>
      <c r="G2234" s="3">
        <v>30</v>
      </c>
      <c r="H2234" s="5">
        <v>146912571</v>
      </c>
    </row>
    <row r="2235" spans="1:8" ht="18.75" x14ac:dyDescent="0.2">
      <c r="A2235" s="3" t="str">
        <f t="shared" si="269"/>
        <v>98/11/26</v>
      </c>
      <c r="B2235" s="3" t="str">
        <f t="shared" si="270"/>
        <v>كالاهاي مصرفي</v>
      </c>
      <c r="C2235" s="3" t="str">
        <f t="shared" ref="C2235:C2266" si="274">"انبار مصرفي ZU1"</f>
        <v>انبار مصرفي ZU1</v>
      </c>
      <c r="D2235" s="3" t="str">
        <f>"0105000070"</f>
        <v>0105000070</v>
      </c>
      <c r="E2235" s="3" t="str">
        <f>"چسب واشر ساز حرارتي تيوپي"</f>
        <v>چسب واشر ساز حرارتي تيوپي</v>
      </c>
      <c r="F2235" s="3" t="str">
        <f>"عدد"</f>
        <v>عدد</v>
      </c>
      <c r="G2235" s="3">
        <v>170</v>
      </c>
      <c r="H2235" s="5">
        <v>147050000</v>
      </c>
    </row>
    <row r="2236" spans="1:8" ht="18.75" x14ac:dyDescent="0.2">
      <c r="A2236" s="3" t="str">
        <f t="shared" si="269"/>
        <v>98/11/26</v>
      </c>
      <c r="B2236" s="3" t="str">
        <f t="shared" si="270"/>
        <v>كالاهاي مصرفي</v>
      </c>
      <c r="C2236" s="3" t="str">
        <f t="shared" si="274"/>
        <v>انبار مصرفي ZU1</v>
      </c>
      <c r="D2236" s="3" t="str">
        <f>"0204000159"</f>
        <v>0204000159</v>
      </c>
      <c r="E2236" s="3" t="str">
        <f>"بيرينگ C3-6319"</f>
        <v>بيرينگ C3-6319</v>
      </c>
      <c r="F2236" s="3" t="str">
        <f>"عدد"</f>
        <v>عدد</v>
      </c>
      <c r="G2236" s="3">
        <v>20</v>
      </c>
      <c r="H2236" s="5">
        <v>148000000</v>
      </c>
    </row>
    <row r="2237" spans="1:8" ht="18.75" x14ac:dyDescent="0.2">
      <c r="A2237" s="3" t="str">
        <f t="shared" si="269"/>
        <v>98/11/26</v>
      </c>
      <c r="B2237" s="3" t="str">
        <f t="shared" si="270"/>
        <v>كالاهاي مصرفي</v>
      </c>
      <c r="C2237" s="3" t="str">
        <f t="shared" si="274"/>
        <v>انبار مصرفي ZU1</v>
      </c>
      <c r="D2237" s="3" t="str">
        <f>"0204001082"</f>
        <v>0204001082</v>
      </c>
      <c r="E2237" s="3" t="str">
        <f>"گلوله هاي خشک کن (آلوميناي اکتيو)"</f>
        <v>گلوله هاي خشک کن (آلوميناي اکتيو)</v>
      </c>
      <c r="F2237" s="3" t="str">
        <f>"کيلوگرم"</f>
        <v>کيلوگرم</v>
      </c>
      <c r="G2237" s="3">
        <v>900</v>
      </c>
      <c r="H2237" s="5">
        <v>148500000</v>
      </c>
    </row>
    <row r="2238" spans="1:8" ht="18.75" x14ac:dyDescent="0.2">
      <c r="A2238" s="3" t="str">
        <f t="shared" si="269"/>
        <v>98/11/26</v>
      </c>
      <c r="B2238" s="3" t="str">
        <f t="shared" si="270"/>
        <v>كالاهاي مصرفي</v>
      </c>
      <c r="C2238" s="3" t="str">
        <f t="shared" si="274"/>
        <v>انبار مصرفي ZU1</v>
      </c>
      <c r="D2238" s="3" t="str">
        <f>"0204000478"</f>
        <v>0204000478</v>
      </c>
      <c r="E2238" s="3" t="str">
        <f>"گسكت(واشرابندي) مسلح گرافيتي - ضخامت 5 ميليمتر"</f>
        <v>گسكت(واشرابندي) مسلح گرافيتي - ضخامت 5 ميليمتر</v>
      </c>
      <c r="F2238" s="3" t="str">
        <f>"متر مربع"</f>
        <v>متر مربع</v>
      </c>
      <c r="G2238" s="3">
        <v>44.25</v>
      </c>
      <c r="H2238" s="5">
        <v>149096611</v>
      </c>
    </row>
    <row r="2239" spans="1:8" ht="18.75" x14ac:dyDescent="0.2">
      <c r="A2239" s="3" t="str">
        <f t="shared" si="269"/>
        <v>98/11/26</v>
      </c>
      <c r="B2239" s="3" t="str">
        <f t="shared" si="270"/>
        <v>كالاهاي مصرفي</v>
      </c>
      <c r="C2239" s="3" t="str">
        <f t="shared" si="274"/>
        <v>انبار مصرفي ZU1</v>
      </c>
      <c r="D2239" s="3" t="str">
        <f>"0106000107"</f>
        <v>0106000107</v>
      </c>
      <c r="E2239" s="3" t="str">
        <f>"گريس پايه نقره جهت هدايت الكتريكي عالي 250 گرمي(634اوراپي)"</f>
        <v>گريس پايه نقره جهت هدايت الكتريكي عالي 250 گرمي(634اوراپي)</v>
      </c>
      <c r="F2239" s="3" t="str">
        <f>"عدد"</f>
        <v>عدد</v>
      </c>
      <c r="G2239" s="3">
        <v>2</v>
      </c>
      <c r="H2239" s="5">
        <v>150000000</v>
      </c>
    </row>
    <row r="2240" spans="1:8" ht="18.75" x14ac:dyDescent="0.2">
      <c r="A2240" s="3" t="str">
        <f t="shared" si="269"/>
        <v>98/11/26</v>
      </c>
      <c r="B2240" s="3" t="str">
        <f t="shared" si="270"/>
        <v>كالاهاي مصرفي</v>
      </c>
      <c r="C2240" s="3" t="str">
        <f t="shared" si="274"/>
        <v>انبار مصرفي ZU1</v>
      </c>
      <c r="D2240" s="3" t="str">
        <f>"0204000455"</f>
        <v>0204000455</v>
      </c>
      <c r="E2240" s="3" t="str">
        <f>"گسكت مقاوم به آب داغ و بخار با تراكم 1000 ضخامت 4 ميليمتر"</f>
        <v>گسكت مقاوم به آب داغ و بخار با تراكم 1000 ضخامت 4 ميليمتر</v>
      </c>
      <c r="F2240" s="3" t="str">
        <f>"متر مربع"</f>
        <v>متر مربع</v>
      </c>
      <c r="G2240" s="3">
        <v>50.75</v>
      </c>
      <c r="H2240" s="5">
        <v>150224015</v>
      </c>
    </row>
    <row r="2241" spans="1:8" ht="18.75" x14ac:dyDescent="0.2">
      <c r="A2241" s="3" t="str">
        <f t="shared" si="269"/>
        <v>98/11/26</v>
      </c>
      <c r="B2241" s="3" t="str">
        <f t="shared" si="270"/>
        <v>كالاهاي مصرفي</v>
      </c>
      <c r="C2241" s="3" t="str">
        <f t="shared" si="274"/>
        <v>انبار مصرفي ZU1</v>
      </c>
      <c r="D2241" s="3" t="str">
        <f>"0204001503"</f>
        <v>0204001503</v>
      </c>
      <c r="E2241" s="3" t="str">
        <f>"ورق سيليكون سفيد ضخامت 6 ميل"</f>
        <v>ورق سيليكون سفيد ضخامت 6 ميل</v>
      </c>
      <c r="F2241" s="3" t="str">
        <f>"متر مربع"</f>
        <v>متر مربع</v>
      </c>
      <c r="G2241" s="3">
        <v>49</v>
      </c>
      <c r="H2241" s="5">
        <v>152160000</v>
      </c>
    </row>
    <row r="2242" spans="1:8" ht="18.75" x14ac:dyDescent="0.2">
      <c r="A2242" s="3" t="str">
        <f t="shared" ref="A2242:A2305" si="275">"98/11/26"</f>
        <v>98/11/26</v>
      </c>
      <c r="B2242" s="3" t="str">
        <f t="shared" ref="B2242:B2305" si="276">"كالاهاي مصرفي"</f>
        <v>كالاهاي مصرفي</v>
      </c>
      <c r="C2242" s="3" t="str">
        <f t="shared" si="274"/>
        <v>انبار مصرفي ZU1</v>
      </c>
      <c r="D2242" s="3" t="str">
        <f>"0602000061"</f>
        <v>0602000061</v>
      </c>
      <c r="E2242" s="3" t="str">
        <f>"انكر بولت M16-HSL-3/-G"</f>
        <v>انكر بولت M16-HSL-3/-G</v>
      </c>
      <c r="F2242" s="3" t="str">
        <f>"عدد"</f>
        <v>عدد</v>
      </c>
      <c r="G2242" s="3">
        <v>192</v>
      </c>
      <c r="H2242" s="5">
        <v>153600000</v>
      </c>
    </row>
    <row r="2243" spans="1:8" ht="18.75" x14ac:dyDescent="0.2">
      <c r="A2243" s="3" t="str">
        <f t="shared" si="275"/>
        <v>98/11/26</v>
      </c>
      <c r="B2243" s="3" t="str">
        <f t="shared" si="276"/>
        <v>كالاهاي مصرفي</v>
      </c>
      <c r="C2243" s="3" t="str">
        <f t="shared" si="274"/>
        <v>انبار مصرفي ZU1</v>
      </c>
      <c r="D2243" s="3" t="str">
        <f>"0204000457"</f>
        <v>0204000457</v>
      </c>
      <c r="E2243" s="3" t="str">
        <f>"گسكت مقاوم به آب داغ و بخار با تراكم 1000 ضخامت 6 ميليمتر"</f>
        <v>گسكت مقاوم به آب داغ و بخار با تراكم 1000 ضخامت 6 ميليمتر</v>
      </c>
      <c r="F2243" s="3" t="str">
        <f>"متر مربع"</f>
        <v>متر مربع</v>
      </c>
      <c r="G2243" s="3">
        <v>46.25</v>
      </c>
      <c r="H2243" s="5">
        <v>154679500</v>
      </c>
    </row>
    <row r="2244" spans="1:8" ht="18.75" x14ac:dyDescent="0.2">
      <c r="A2244" s="3" t="str">
        <f t="shared" si="275"/>
        <v>98/11/26</v>
      </c>
      <c r="B2244" s="3" t="str">
        <f t="shared" si="276"/>
        <v>كالاهاي مصرفي</v>
      </c>
      <c r="C2244" s="3" t="str">
        <f t="shared" si="274"/>
        <v>انبار مصرفي ZU1</v>
      </c>
      <c r="D2244" s="3" t="str">
        <f>"0204001913"</f>
        <v>0204001913</v>
      </c>
      <c r="E2244" s="3" t="str">
        <f>"Carbon Ring (48) VS"</f>
        <v>Carbon Ring (48) VS</v>
      </c>
      <c r="F2244" s="3" t="str">
        <f>"عدد"</f>
        <v>عدد</v>
      </c>
      <c r="G2244" s="3">
        <v>5</v>
      </c>
      <c r="H2244" s="5">
        <v>154800000</v>
      </c>
    </row>
    <row r="2245" spans="1:8" ht="18.75" x14ac:dyDescent="0.2">
      <c r="A2245" s="3" t="str">
        <f t="shared" si="275"/>
        <v>98/11/26</v>
      </c>
      <c r="B2245" s="3" t="str">
        <f t="shared" si="276"/>
        <v>كالاهاي مصرفي</v>
      </c>
      <c r="C2245" s="3" t="str">
        <f t="shared" si="274"/>
        <v>انبار مصرفي ZU1</v>
      </c>
      <c r="D2245" s="3" t="str">
        <f>"0103000339"</f>
        <v>0103000339</v>
      </c>
      <c r="E2245" s="3" t="str">
        <f>"مايع نافذ فلوئورسنت"</f>
        <v>مايع نافذ فلوئورسنت</v>
      </c>
      <c r="F2245" s="3" t="str">
        <f>"ليتر"</f>
        <v>ليتر</v>
      </c>
      <c r="G2245" s="3">
        <v>25</v>
      </c>
      <c r="H2245" s="5">
        <v>155000000</v>
      </c>
    </row>
    <row r="2246" spans="1:8" ht="18.75" x14ac:dyDescent="0.2">
      <c r="A2246" s="3" t="str">
        <f t="shared" si="275"/>
        <v>98/11/26</v>
      </c>
      <c r="B2246" s="3" t="str">
        <f t="shared" si="276"/>
        <v>كالاهاي مصرفي</v>
      </c>
      <c r="C2246" s="3" t="str">
        <f t="shared" si="274"/>
        <v>انبار مصرفي ZU1</v>
      </c>
      <c r="D2246" s="3" t="str">
        <f>"0204001840"</f>
        <v>0204001840</v>
      </c>
      <c r="E2246" s="3" t="str">
        <f>"گسكت گرافيتي مقاوم به اسيد و روغن ضخامت 3"</f>
        <v>گسكت گرافيتي مقاوم به اسيد و روغن ضخامت 3</v>
      </c>
      <c r="F2246" s="3" t="str">
        <f>"متر مربع"</f>
        <v>متر مربع</v>
      </c>
      <c r="G2246" s="3">
        <v>23</v>
      </c>
      <c r="H2246" s="5">
        <v>157020000</v>
      </c>
    </row>
    <row r="2247" spans="1:8" ht="18.75" x14ac:dyDescent="0.2">
      <c r="A2247" s="3" t="str">
        <f t="shared" si="275"/>
        <v>98/11/26</v>
      </c>
      <c r="B2247" s="3" t="str">
        <f t="shared" si="276"/>
        <v>كالاهاي مصرفي</v>
      </c>
      <c r="C2247" s="3" t="str">
        <f t="shared" si="274"/>
        <v>انبار مصرفي ZU1</v>
      </c>
      <c r="D2247" s="3" t="str">
        <f>"0204000506"</f>
        <v>0204000506</v>
      </c>
      <c r="E2247" s="3" t="str">
        <f>"ورقه تفلوني ( فتاراپلاست)  15 ميليمتر"</f>
        <v>ورقه تفلوني ( فتاراپلاست)  15 ميليمتر</v>
      </c>
      <c r="F2247" s="3" t="str">
        <f>"متر مربع"</f>
        <v>متر مربع</v>
      </c>
      <c r="G2247" s="3">
        <v>24</v>
      </c>
      <c r="H2247" s="5">
        <v>159400000</v>
      </c>
    </row>
    <row r="2248" spans="1:8" ht="18.75" x14ac:dyDescent="0.2">
      <c r="A2248" s="3" t="str">
        <f t="shared" si="275"/>
        <v>98/11/26</v>
      </c>
      <c r="B2248" s="3" t="str">
        <f t="shared" si="276"/>
        <v>كالاهاي مصرفي</v>
      </c>
      <c r="C2248" s="3" t="str">
        <f t="shared" si="274"/>
        <v>انبار مصرفي ZU1</v>
      </c>
      <c r="D2248" s="3" t="str">
        <f>"0215000130"</f>
        <v>0215000130</v>
      </c>
      <c r="E2248" s="3" t="str">
        <f>"جاذب فيلتر دانفوس (DCR 0485-19217) 48-DC"</f>
        <v>جاذب فيلتر دانفوس (DCR 0485-19217) 48-DC</v>
      </c>
      <c r="F2248" s="3" t="str">
        <f>"عدد"</f>
        <v>عدد</v>
      </c>
      <c r="G2248" s="3">
        <v>40</v>
      </c>
      <c r="H2248" s="5">
        <v>160000000</v>
      </c>
    </row>
    <row r="2249" spans="1:8" ht="18.75" x14ac:dyDescent="0.2">
      <c r="A2249" s="3" t="str">
        <f t="shared" si="275"/>
        <v>98/11/26</v>
      </c>
      <c r="B2249" s="3" t="str">
        <f t="shared" si="276"/>
        <v>كالاهاي مصرفي</v>
      </c>
      <c r="C2249" s="3" t="str">
        <f t="shared" si="274"/>
        <v>انبار مصرفي ZU1</v>
      </c>
      <c r="D2249" s="3" t="str">
        <f>"0601000129"</f>
        <v>0601000129</v>
      </c>
      <c r="E2249" s="3" t="str">
        <f>"دستكش نخي كاموايي"</f>
        <v>دستكش نخي كاموايي</v>
      </c>
      <c r="F2249" s="3" t="str">
        <f>"جفت"</f>
        <v>جفت</v>
      </c>
      <c r="G2249" s="3">
        <v>16520</v>
      </c>
      <c r="H2249" s="5">
        <v>160084892</v>
      </c>
    </row>
    <row r="2250" spans="1:8" ht="18.75" x14ac:dyDescent="0.2">
      <c r="A2250" s="3" t="str">
        <f t="shared" si="275"/>
        <v>98/11/26</v>
      </c>
      <c r="B2250" s="3" t="str">
        <f t="shared" si="276"/>
        <v>كالاهاي مصرفي</v>
      </c>
      <c r="C2250" s="3" t="str">
        <f t="shared" si="274"/>
        <v>انبار مصرفي ZU1</v>
      </c>
      <c r="D2250" s="3" t="str">
        <f>"0204000152"</f>
        <v>0204000152</v>
      </c>
      <c r="E2250" s="3" t="str">
        <f>"بيرينگ 6322-C3"</f>
        <v>بيرينگ 6322-C3</v>
      </c>
      <c r="F2250" s="3" t="str">
        <f>"عدد"</f>
        <v>عدد</v>
      </c>
      <c r="G2250" s="3">
        <v>13</v>
      </c>
      <c r="H2250" s="5">
        <v>161000000</v>
      </c>
    </row>
    <row r="2251" spans="1:8" ht="18.75" x14ac:dyDescent="0.2">
      <c r="A2251" s="3" t="str">
        <f t="shared" si="275"/>
        <v>98/11/26</v>
      </c>
      <c r="B2251" s="3" t="str">
        <f t="shared" si="276"/>
        <v>كالاهاي مصرفي</v>
      </c>
      <c r="C2251" s="3" t="str">
        <f t="shared" si="274"/>
        <v>انبار مصرفي ZU1</v>
      </c>
      <c r="D2251" s="3" t="str">
        <f>"0204000476"</f>
        <v>0204000476</v>
      </c>
      <c r="E2251" s="3" t="str">
        <f>"گسكت مقاوم به بنزين و روغن ضخامت 4"</f>
        <v>گسكت مقاوم به بنزين و روغن ضخامت 4</v>
      </c>
      <c r="F2251" s="3" t="str">
        <f>"متر مربع"</f>
        <v>متر مربع</v>
      </c>
      <c r="G2251" s="3">
        <v>33.340000000000003</v>
      </c>
      <c r="H2251" s="5">
        <v>162508830</v>
      </c>
    </row>
    <row r="2252" spans="1:8" ht="18.75" x14ac:dyDescent="0.2">
      <c r="A2252" s="3" t="str">
        <f t="shared" si="275"/>
        <v>98/11/26</v>
      </c>
      <c r="B2252" s="3" t="str">
        <f t="shared" si="276"/>
        <v>كالاهاي مصرفي</v>
      </c>
      <c r="C2252" s="3" t="str">
        <f t="shared" si="274"/>
        <v>انبار مصرفي ZU1</v>
      </c>
      <c r="D2252" s="3" t="str">
        <f>"0209000437"</f>
        <v>0209000437</v>
      </c>
      <c r="E2252" s="3" t="str">
        <f>"پولي فن UV10D001-8"</f>
        <v>پولي فن UV10D001-8</v>
      </c>
      <c r="F2252" s="3" t="str">
        <f>"عدد"</f>
        <v>عدد</v>
      </c>
      <c r="G2252" s="3">
        <v>1</v>
      </c>
      <c r="H2252" s="5">
        <v>163000000</v>
      </c>
    </row>
    <row r="2253" spans="1:8" ht="18.75" x14ac:dyDescent="0.2">
      <c r="A2253" s="3" t="str">
        <f t="shared" si="275"/>
        <v>98/11/26</v>
      </c>
      <c r="B2253" s="3" t="str">
        <f t="shared" si="276"/>
        <v>كالاهاي مصرفي</v>
      </c>
      <c r="C2253" s="3" t="str">
        <f t="shared" si="274"/>
        <v>انبار مصرفي ZU1</v>
      </c>
      <c r="D2253" s="3" t="str">
        <f>"0204000507"</f>
        <v>0204000507</v>
      </c>
      <c r="E2253" s="3" t="str">
        <f>"ورقه تفلوني ( فتاراپلاست) ضخامت 3 ميلي متر"</f>
        <v>ورقه تفلوني ( فتاراپلاست) ضخامت 3 ميلي متر</v>
      </c>
      <c r="F2253" s="3" t="str">
        <f>"متر مربع"</f>
        <v>متر مربع</v>
      </c>
      <c r="G2253" s="3">
        <v>15</v>
      </c>
      <c r="H2253" s="5">
        <v>163595487</v>
      </c>
    </row>
    <row r="2254" spans="1:8" ht="18.75" x14ac:dyDescent="0.2">
      <c r="A2254" s="3" t="str">
        <f t="shared" si="275"/>
        <v>98/11/26</v>
      </c>
      <c r="B2254" s="3" t="str">
        <f t="shared" si="276"/>
        <v>كالاهاي مصرفي</v>
      </c>
      <c r="C2254" s="3" t="str">
        <f t="shared" si="274"/>
        <v>انبار مصرفي ZU1</v>
      </c>
      <c r="D2254" s="3" t="str">
        <f>"0204001148"</f>
        <v>0204001148</v>
      </c>
      <c r="E2254" s="3" t="str">
        <f>"گسکت گرافيتي ضخامت 5 ميليمتر"</f>
        <v>گسکت گرافيتي ضخامت 5 ميليمتر</v>
      </c>
      <c r="F2254" s="3" t="str">
        <f>"متر مربع"</f>
        <v>متر مربع</v>
      </c>
      <c r="G2254" s="3">
        <v>37.270000000000003</v>
      </c>
      <c r="H2254" s="5">
        <v>164919750</v>
      </c>
    </row>
    <row r="2255" spans="1:8" ht="18.75" x14ac:dyDescent="0.2">
      <c r="A2255" s="3" t="str">
        <f t="shared" si="275"/>
        <v>98/11/26</v>
      </c>
      <c r="B2255" s="3" t="str">
        <f t="shared" si="276"/>
        <v>كالاهاي مصرفي</v>
      </c>
      <c r="C2255" s="3" t="str">
        <f t="shared" si="274"/>
        <v>انبار مصرفي ZU1</v>
      </c>
      <c r="D2255" s="3" t="str">
        <f>"0204000260"</f>
        <v>0204000260</v>
      </c>
      <c r="E2255" s="3" t="str">
        <f>"پكينگ آبندي فشاري20*20 گرافيت خالص"</f>
        <v>پكينگ آبندي فشاري20*20 گرافيت خالص</v>
      </c>
      <c r="F2255" s="3" t="str">
        <f>"کيلوگرم"</f>
        <v>کيلوگرم</v>
      </c>
      <c r="G2255" s="3">
        <v>100</v>
      </c>
      <c r="H2255" s="5">
        <v>165000000</v>
      </c>
    </row>
    <row r="2256" spans="1:8" ht="18.75" x14ac:dyDescent="0.2">
      <c r="A2256" s="3" t="str">
        <f t="shared" si="275"/>
        <v>98/11/26</v>
      </c>
      <c r="B2256" s="3" t="str">
        <f t="shared" si="276"/>
        <v>كالاهاي مصرفي</v>
      </c>
      <c r="C2256" s="3" t="str">
        <f t="shared" si="274"/>
        <v>انبار مصرفي ZU1</v>
      </c>
      <c r="D2256" s="3" t="str">
        <f>"0209000207"</f>
        <v>0209000207</v>
      </c>
      <c r="E2256" s="3" t="str">
        <f>"رينگ نگهدارنده آب بند پکينگ"</f>
        <v>رينگ نگهدارنده آب بند پکينگ</v>
      </c>
      <c r="F2256" s="3" t="str">
        <f>"عدد"</f>
        <v>عدد</v>
      </c>
      <c r="G2256" s="3">
        <v>3</v>
      </c>
      <c r="H2256" s="5">
        <v>165000000</v>
      </c>
    </row>
    <row r="2257" spans="1:8" ht="18.75" x14ac:dyDescent="0.2">
      <c r="A2257" s="3" t="str">
        <f t="shared" si="275"/>
        <v>98/11/26</v>
      </c>
      <c r="B2257" s="3" t="str">
        <f t="shared" si="276"/>
        <v>كالاهاي مصرفي</v>
      </c>
      <c r="C2257" s="3" t="str">
        <f t="shared" si="274"/>
        <v>انبار مصرفي ZU1</v>
      </c>
      <c r="D2257" s="3" t="str">
        <f>"0204001153"</f>
        <v>0204001153</v>
      </c>
      <c r="E2257" s="3" t="str">
        <f>"گسکت مقاوم به اسيد و باز ضخامت 4 ميليمتر"</f>
        <v>گسکت مقاوم به اسيد و باز ضخامت 4 ميليمتر</v>
      </c>
      <c r="F2257" s="3" t="str">
        <f>"متر مربع"</f>
        <v>متر مربع</v>
      </c>
      <c r="G2257" s="3">
        <v>21</v>
      </c>
      <c r="H2257" s="5">
        <v>165900000</v>
      </c>
    </row>
    <row r="2258" spans="1:8" ht="18.75" x14ac:dyDescent="0.2">
      <c r="A2258" s="3" t="str">
        <f t="shared" si="275"/>
        <v>98/11/26</v>
      </c>
      <c r="B2258" s="3" t="str">
        <f t="shared" si="276"/>
        <v>كالاهاي مصرفي</v>
      </c>
      <c r="C2258" s="3" t="str">
        <f t="shared" si="274"/>
        <v>انبار مصرفي ZU1</v>
      </c>
      <c r="D2258" s="3" t="str">
        <f>"0204001143"</f>
        <v>0204001143</v>
      </c>
      <c r="E2258" s="3" t="str">
        <f>"صفحات لاستيك آببندي مقاوم در مقابل محيط اسيدي و بازي ضخامت 6"</f>
        <v>صفحات لاستيك آببندي مقاوم در مقابل محيط اسيدي و بازي ضخامت 6</v>
      </c>
      <c r="F2258" s="3" t="str">
        <f>"متر مربع"</f>
        <v>متر مربع</v>
      </c>
      <c r="G2258" s="3">
        <v>38</v>
      </c>
      <c r="H2258" s="5">
        <v>167200000</v>
      </c>
    </row>
    <row r="2259" spans="1:8" ht="18.75" x14ac:dyDescent="0.2">
      <c r="A2259" s="3" t="str">
        <f t="shared" si="275"/>
        <v>98/11/26</v>
      </c>
      <c r="B2259" s="3" t="str">
        <f t="shared" si="276"/>
        <v>كالاهاي مصرفي</v>
      </c>
      <c r="C2259" s="3" t="str">
        <f t="shared" si="274"/>
        <v>انبار مصرفي ZU1</v>
      </c>
      <c r="D2259" s="3" t="str">
        <f>"0101000057"</f>
        <v>0101000057</v>
      </c>
      <c r="E2259" s="3" t="str">
        <f>"آهك مرده"</f>
        <v>آهك مرده</v>
      </c>
      <c r="F2259" s="3" t="str">
        <f>"کيلوگرم"</f>
        <v>کيلوگرم</v>
      </c>
      <c r="G2259" s="3">
        <v>20000</v>
      </c>
      <c r="H2259" s="5">
        <v>168000000</v>
      </c>
    </row>
    <row r="2260" spans="1:8" ht="18.75" x14ac:dyDescent="0.2">
      <c r="A2260" s="3" t="str">
        <f t="shared" si="275"/>
        <v>98/11/26</v>
      </c>
      <c r="B2260" s="3" t="str">
        <f t="shared" si="276"/>
        <v>كالاهاي مصرفي</v>
      </c>
      <c r="C2260" s="3" t="str">
        <f t="shared" si="274"/>
        <v>انبار مصرفي ZU1</v>
      </c>
      <c r="D2260" s="3" t="str">
        <f>"0204000136"</f>
        <v>0204000136</v>
      </c>
      <c r="E2260" s="3" t="str">
        <f>"پكينگ آبندي فشاري 18*18 تفلون گرافيتي"</f>
        <v>پكينگ آبندي فشاري 18*18 تفلون گرافيتي</v>
      </c>
      <c r="F2260" s="3" t="str">
        <f>"کيلوگرم"</f>
        <v>کيلوگرم</v>
      </c>
      <c r="G2260" s="3">
        <v>60</v>
      </c>
      <c r="H2260" s="5">
        <v>171000000</v>
      </c>
    </row>
    <row r="2261" spans="1:8" ht="18.75" x14ac:dyDescent="0.2">
      <c r="A2261" s="3" t="str">
        <f t="shared" si="275"/>
        <v>98/11/26</v>
      </c>
      <c r="B2261" s="3" t="str">
        <f t="shared" si="276"/>
        <v>كالاهاي مصرفي</v>
      </c>
      <c r="C2261" s="3" t="str">
        <f t="shared" si="274"/>
        <v>انبار مصرفي ZU1</v>
      </c>
      <c r="D2261" s="3" t="str">
        <f>"0209000535"</f>
        <v>0209000535</v>
      </c>
      <c r="E2261" s="3" t="str">
        <f>"لرزه گير TL01D001-D002 دستگاه تهويه"</f>
        <v>لرزه گير TL01D001-D002 دستگاه تهويه</v>
      </c>
      <c r="F2261" s="3" t="str">
        <f>"عدد"</f>
        <v>عدد</v>
      </c>
      <c r="G2261" s="3">
        <v>52</v>
      </c>
      <c r="H2261" s="5">
        <v>171600000</v>
      </c>
    </row>
    <row r="2262" spans="1:8" ht="18.75" x14ac:dyDescent="0.2">
      <c r="A2262" s="3" t="str">
        <f t="shared" si="275"/>
        <v>98/11/26</v>
      </c>
      <c r="B2262" s="3" t="str">
        <f t="shared" si="276"/>
        <v>كالاهاي مصرفي</v>
      </c>
      <c r="C2262" s="3" t="str">
        <f t="shared" si="274"/>
        <v>انبار مصرفي ZU1</v>
      </c>
      <c r="D2262" s="3" t="str">
        <f>"0211000506"</f>
        <v>0211000506</v>
      </c>
      <c r="E2262" s="3" t="str">
        <f>"بشكه خالي 220 ليتري"</f>
        <v>بشكه خالي 220 ليتري</v>
      </c>
      <c r="F2262" s="3" t="str">
        <f>"بشكه"</f>
        <v>بشكه</v>
      </c>
      <c r="G2262" s="3">
        <v>65</v>
      </c>
      <c r="H2262" s="5">
        <v>178000000</v>
      </c>
    </row>
    <row r="2263" spans="1:8" ht="18.75" x14ac:dyDescent="0.2">
      <c r="A2263" s="3" t="str">
        <f t="shared" si="275"/>
        <v>98/11/26</v>
      </c>
      <c r="B2263" s="3" t="str">
        <f t="shared" si="276"/>
        <v>كالاهاي مصرفي</v>
      </c>
      <c r="C2263" s="3" t="str">
        <f t="shared" si="274"/>
        <v>انبار مصرفي ZU1</v>
      </c>
      <c r="D2263" s="3" t="str">
        <f>"0204002303"</f>
        <v>0204002303</v>
      </c>
      <c r="E2263" s="3" t="str">
        <f>"بيرينگ 29340E"</f>
        <v>بيرينگ 29340E</v>
      </c>
      <c r="F2263" s="3" t="str">
        <f>"عدد"</f>
        <v>عدد</v>
      </c>
      <c r="G2263" s="3">
        <v>1</v>
      </c>
      <c r="H2263" s="5">
        <v>180000000</v>
      </c>
    </row>
    <row r="2264" spans="1:8" ht="18.75" x14ac:dyDescent="0.2">
      <c r="A2264" s="3" t="str">
        <f t="shared" si="275"/>
        <v>98/11/26</v>
      </c>
      <c r="B2264" s="3" t="str">
        <f t="shared" si="276"/>
        <v>كالاهاي مصرفي</v>
      </c>
      <c r="C2264" s="3" t="str">
        <f t="shared" si="274"/>
        <v>انبار مصرفي ZU1</v>
      </c>
      <c r="D2264" s="3" t="str">
        <f>"0204001858"</f>
        <v>0204001858</v>
      </c>
      <c r="E2264" s="3" t="str">
        <f>"پكينگ آبندي گرافلكس كد 106KB سايز 10mm"</f>
        <v>پكينگ آبندي گرافلكس كد 106KB سايز 10mm</v>
      </c>
      <c r="F2264" s="3" t="str">
        <f>"متر"</f>
        <v>متر</v>
      </c>
      <c r="G2264" s="3">
        <v>50</v>
      </c>
      <c r="H2264" s="5">
        <v>180539700</v>
      </c>
    </row>
    <row r="2265" spans="1:8" ht="18.75" x14ac:dyDescent="0.2">
      <c r="A2265" s="3" t="str">
        <f t="shared" si="275"/>
        <v>98/11/26</v>
      </c>
      <c r="B2265" s="3" t="str">
        <f t="shared" si="276"/>
        <v>كالاهاي مصرفي</v>
      </c>
      <c r="C2265" s="3" t="str">
        <f t="shared" si="274"/>
        <v>انبار مصرفي ZU1</v>
      </c>
      <c r="D2265" s="3" t="str">
        <f>"0204001859"</f>
        <v>0204001859</v>
      </c>
      <c r="E2265" s="3" t="str">
        <f>"پكينگ آبندي گرافلكس كد 106KB سايز 8mm"</f>
        <v>پكينگ آبندي گرافلكس كد 106KB سايز 8mm</v>
      </c>
      <c r="F2265" s="3" t="str">
        <f>"متر"</f>
        <v>متر</v>
      </c>
      <c r="G2265" s="3">
        <v>50</v>
      </c>
      <c r="H2265" s="5">
        <v>180539700</v>
      </c>
    </row>
    <row r="2266" spans="1:8" ht="18.75" x14ac:dyDescent="0.2">
      <c r="A2266" s="3" t="str">
        <f t="shared" si="275"/>
        <v>98/11/26</v>
      </c>
      <c r="B2266" s="3" t="str">
        <f t="shared" si="276"/>
        <v>كالاهاي مصرفي</v>
      </c>
      <c r="C2266" s="3" t="str">
        <f t="shared" si="274"/>
        <v>انبار مصرفي ZU1</v>
      </c>
      <c r="D2266" s="3" t="str">
        <f>"0601000075"</f>
        <v>0601000075</v>
      </c>
      <c r="E2266" s="3" t="str">
        <f>"دستكش ضد اسيد"</f>
        <v>دستكش ضد اسيد</v>
      </c>
      <c r="F2266" s="3" t="str">
        <f>"جفت"</f>
        <v>جفت</v>
      </c>
      <c r="G2266" s="3">
        <v>1091</v>
      </c>
      <c r="H2266" s="5">
        <v>181626211</v>
      </c>
    </row>
    <row r="2267" spans="1:8" ht="18.75" x14ac:dyDescent="0.2">
      <c r="A2267" s="3" t="str">
        <f t="shared" si="275"/>
        <v>98/11/26</v>
      </c>
      <c r="B2267" s="3" t="str">
        <f t="shared" si="276"/>
        <v>كالاهاي مصرفي</v>
      </c>
      <c r="C2267" s="3" t="str">
        <f>"انبار مركزي ( عمومي )"</f>
        <v>انبار مركزي ( عمومي )</v>
      </c>
      <c r="D2267" s="3" t="str">
        <f>"0101000041"</f>
        <v>0101000041</v>
      </c>
      <c r="E2267" s="3" t="str">
        <f>"آرام بند (جك بازويي درب )"</f>
        <v>آرام بند (جك بازويي درب )</v>
      </c>
      <c r="F2267" s="3" t="str">
        <f>"دستگاه"</f>
        <v>دستگاه</v>
      </c>
      <c r="G2267" s="3">
        <v>160</v>
      </c>
      <c r="H2267" s="5">
        <v>182790373</v>
      </c>
    </row>
    <row r="2268" spans="1:8" ht="18.75" x14ac:dyDescent="0.2">
      <c r="A2268" s="3" t="str">
        <f t="shared" si="275"/>
        <v>98/11/26</v>
      </c>
      <c r="B2268" s="3" t="str">
        <f t="shared" si="276"/>
        <v>كالاهاي مصرفي</v>
      </c>
      <c r="C2268" s="3" t="str">
        <f>"انبار مصرفي ZU1"</f>
        <v>انبار مصرفي ZU1</v>
      </c>
      <c r="D2268" s="3" t="str">
        <f>"0102000185"</f>
        <v>0102000185</v>
      </c>
      <c r="E2268" s="3" t="str">
        <f>"رنگ EP-5285, Ral-7042"</f>
        <v>رنگ EP-5285, Ral-7042</v>
      </c>
      <c r="F2268" s="3" t="str">
        <f>"کيلوگرم"</f>
        <v>کيلوگرم</v>
      </c>
      <c r="G2268" s="3">
        <v>200</v>
      </c>
      <c r="H2268" s="5">
        <v>187000000</v>
      </c>
    </row>
    <row r="2269" spans="1:8" ht="18.75" x14ac:dyDescent="0.2">
      <c r="A2269" s="3" t="str">
        <f t="shared" si="275"/>
        <v>98/11/26</v>
      </c>
      <c r="B2269" s="3" t="str">
        <f t="shared" si="276"/>
        <v>كالاهاي مصرفي</v>
      </c>
      <c r="C2269" s="3" t="str">
        <f>"انبار مركزي ( عمومي )"</f>
        <v>انبار مركزي ( عمومي )</v>
      </c>
      <c r="D2269" s="3" t="str">
        <f>"0105000160"</f>
        <v>0105000160</v>
      </c>
      <c r="E2269" s="3" t="str">
        <f>"چسب دوجزيي  ( BELZONA (BASE - 1111NF2"</f>
        <v>چسب دوجزيي  ( BELZONA (BASE - 1111NF2</v>
      </c>
      <c r="F2269" s="3" t="str">
        <f>"عدد"</f>
        <v>عدد</v>
      </c>
      <c r="G2269" s="3">
        <v>2</v>
      </c>
      <c r="H2269" s="5">
        <v>195000000</v>
      </c>
    </row>
    <row r="2270" spans="1:8" ht="18.75" x14ac:dyDescent="0.2">
      <c r="A2270" s="3" t="str">
        <f t="shared" si="275"/>
        <v>98/11/26</v>
      </c>
      <c r="B2270" s="3" t="str">
        <f t="shared" si="276"/>
        <v>كالاهاي مصرفي</v>
      </c>
      <c r="C2270" s="3" t="str">
        <f t="shared" ref="C2270:C2289" si="277">"انبار مصرفي ZU1"</f>
        <v>انبار مصرفي ZU1</v>
      </c>
      <c r="D2270" s="3" t="str">
        <f>"0214000402"</f>
        <v>0214000402</v>
      </c>
      <c r="E2270" s="3" t="str">
        <f>"خار قفل كن زنجير"</f>
        <v>خار قفل كن زنجير</v>
      </c>
      <c r="F2270" s="3" t="str">
        <f>"عدد"</f>
        <v>عدد</v>
      </c>
      <c r="G2270" s="3">
        <v>300</v>
      </c>
      <c r="H2270" s="5">
        <v>195000000</v>
      </c>
    </row>
    <row r="2271" spans="1:8" ht="18.75" x14ac:dyDescent="0.2">
      <c r="A2271" s="3" t="str">
        <f t="shared" si="275"/>
        <v>98/11/26</v>
      </c>
      <c r="B2271" s="3" t="str">
        <f t="shared" si="276"/>
        <v>كالاهاي مصرفي</v>
      </c>
      <c r="C2271" s="3" t="str">
        <f t="shared" si="277"/>
        <v>انبار مصرفي ZU1</v>
      </c>
      <c r="D2271" s="3" t="str">
        <f>"0102000150"</f>
        <v>0102000150</v>
      </c>
      <c r="E2271" s="3" t="str">
        <f>"رنگ OS-5103, Ral-6019 سه جزئي"</f>
        <v>رنگ OS-5103, Ral-6019 سه جزئي</v>
      </c>
      <c r="F2271" s="3" t="str">
        <f>"کيلوگرم"</f>
        <v>کيلوگرم</v>
      </c>
      <c r="G2271" s="3">
        <v>100</v>
      </c>
      <c r="H2271" s="5">
        <v>198000000</v>
      </c>
    </row>
    <row r="2272" spans="1:8" ht="18.75" x14ac:dyDescent="0.2">
      <c r="A2272" s="3" t="str">
        <f t="shared" si="275"/>
        <v>98/11/26</v>
      </c>
      <c r="B2272" s="3" t="str">
        <f t="shared" si="276"/>
        <v>كالاهاي مصرفي</v>
      </c>
      <c r="C2272" s="3" t="str">
        <f t="shared" si="277"/>
        <v>انبار مصرفي ZU1</v>
      </c>
      <c r="D2272" s="3" t="str">
        <f>"0103000053"</f>
        <v>0103000053</v>
      </c>
      <c r="E2272" s="3" t="str">
        <f>"اسيد بوريك صنعتي"</f>
        <v>اسيد بوريك صنعتي</v>
      </c>
      <c r="F2272" s="3" t="str">
        <f>"کيلوگرم"</f>
        <v>کيلوگرم</v>
      </c>
      <c r="G2272" s="3">
        <v>4060</v>
      </c>
      <c r="H2272" s="5">
        <v>198087636</v>
      </c>
    </row>
    <row r="2273" spans="1:8" ht="18.75" x14ac:dyDescent="0.2">
      <c r="A2273" s="3" t="str">
        <f t="shared" si="275"/>
        <v>98/11/26</v>
      </c>
      <c r="B2273" s="3" t="str">
        <f t="shared" si="276"/>
        <v>كالاهاي مصرفي</v>
      </c>
      <c r="C2273" s="3" t="str">
        <f t="shared" si="277"/>
        <v>انبار مصرفي ZU1</v>
      </c>
      <c r="D2273" s="3" t="str">
        <f>"0215000137"</f>
        <v>0215000137</v>
      </c>
      <c r="E2273" s="3" t="str">
        <f>"فيلتر يدي AFA-CE-20"</f>
        <v>فيلتر يدي AFA-CE-20</v>
      </c>
      <c r="F2273" s="3" t="str">
        <f>"عدد"</f>
        <v>عدد</v>
      </c>
      <c r="G2273" s="3">
        <v>450</v>
      </c>
      <c r="H2273" s="5">
        <v>205089400</v>
      </c>
    </row>
    <row r="2274" spans="1:8" ht="18.75" x14ac:dyDescent="0.2">
      <c r="A2274" s="3" t="str">
        <f t="shared" si="275"/>
        <v>98/11/26</v>
      </c>
      <c r="B2274" s="3" t="str">
        <f t="shared" si="276"/>
        <v>كالاهاي مصرفي</v>
      </c>
      <c r="C2274" s="3" t="str">
        <f t="shared" si="277"/>
        <v>انبار مصرفي ZU1</v>
      </c>
      <c r="D2274" s="3" t="str">
        <f>"0103000089"</f>
        <v>0103000089</v>
      </c>
      <c r="E2274" s="3" t="str">
        <f>"اسيد كلريدريك 37%"</f>
        <v>اسيد كلريدريك 37%</v>
      </c>
      <c r="F2274" s="3" t="str">
        <f>"ليتر"</f>
        <v>ليتر</v>
      </c>
      <c r="G2274" s="3">
        <v>7000</v>
      </c>
      <c r="H2274" s="5">
        <v>206400000</v>
      </c>
    </row>
    <row r="2275" spans="1:8" ht="18.75" x14ac:dyDescent="0.2">
      <c r="A2275" s="3" t="str">
        <f t="shared" si="275"/>
        <v>98/11/26</v>
      </c>
      <c r="B2275" s="3" t="str">
        <f t="shared" si="276"/>
        <v>كالاهاي مصرفي</v>
      </c>
      <c r="C2275" s="3" t="str">
        <f t="shared" si="277"/>
        <v>انبار مصرفي ZU1</v>
      </c>
      <c r="D2275" s="3" t="str">
        <f>"0106000152"</f>
        <v>0106000152</v>
      </c>
      <c r="E2275" s="3" t="str">
        <f>"روغن GUlf Crest lso 32 بشكه 208 ليتري"</f>
        <v>روغن GUlf Crest lso 32 بشكه 208 ليتري</v>
      </c>
      <c r="F2275" s="3" t="str">
        <f>"بشكه"</f>
        <v>بشكه</v>
      </c>
      <c r="G2275" s="3">
        <v>9</v>
      </c>
      <c r="H2275" s="5">
        <v>207000000</v>
      </c>
    </row>
    <row r="2276" spans="1:8" ht="18.75" x14ac:dyDescent="0.2">
      <c r="A2276" s="3" t="str">
        <f t="shared" si="275"/>
        <v>98/11/26</v>
      </c>
      <c r="B2276" s="3" t="str">
        <f t="shared" si="276"/>
        <v>كالاهاي مصرفي</v>
      </c>
      <c r="C2276" s="3" t="str">
        <f t="shared" si="277"/>
        <v>انبار مصرفي ZU1</v>
      </c>
      <c r="D2276" s="3" t="str">
        <f>"0211002188"</f>
        <v>0211002188</v>
      </c>
      <c r="E2276" s="3" t="str">
        <f>"ميكرو فيلتر المنت اوليه AO"</f>
        <v>ميكرو فيلتر المنت اوليه AO</v>
      </c>
      <c r="F2276" s="3" t="str">
        <f>"عدد"</f>
        <v>عدد</v>
      </c>
      <c r="G2276" s="3">
        <v>6</v>
      </c>
      <c r="H2276" s="5">
        <v>207600000</v>
      </c>
    </row>
    <row r="2277" spans="1:8" ht="18.75" x14ac:dyDescent="0.2">
      <c r="A2277" s="3" t="str">
        <f t="shared" si="275"/>
        <v>98/11/26</v>
      </c>
      <c r="B2277" s="3" t="str">
        <f t="shared" si="276"/>
        <v>كالاهاي مصرفي</v>
      </c>
      <c r="C2277" s="3" t="str">
        <f t="shared" si="277"/>
        <v>انبار مصرفي ZU1</v>
      </c>
      <c r="D2277" s="3" t="str">
        <f>"0211002189"</f>
        <v>0211002189</v>
      </c>
      <c r="E2277" s="3" t="str">
        <f>"ميكرو فيلتر المنت ثانويه AA"</f>
        <v>ميكرو فيلتر المنت ثانويه AA</v>
      </c>
      <c r="F2277" s="3" t="str">
        <f>"عدد"</f>
        <v>عدد</v>
      </c>
      <c r="G2277" s="3">
        <v>6</v>
      </c>
      <c r="H2277" s="5">
        <v>207600000</v>
      </c>
    </row>
    <row r="2278" spans="1:8" ht="18.75" x14ac:dyDescent="0.2">
      <c r="A2278" s="3" t="str">
        <f t="shared" si="275"/>
        <v>98/11/26</v>
      </c>
      <c r="B2278" s="3" t="str">
        <f t="shared" si="276"/>
        <v>كالاهاي مصرفي</v>
      </c>
      <c r="C2278" s="3" t="str">
        <f t="shared" si="277"/>
        <v>انبار مصرفي ZU1</v>
      </c>
      <c r="D2278" s="3" t="str">
        <f>"0211002190"</f>
        <v>0211002190</v>
      </c>
      <c r="E2278" s="3" t="str">
        <f>"ميكرو فيلتر المنت نهايي ACS"</f>
        <v>ميكرو فيلتر المنت نهايي ACS</v>
      </c>
      <c r="F2278" s="3" t="str">
        <f>"عدد"</f>
        <v>عدد</v>
      </c>
      <c r="G2278" s="3">
        <v>6</v>
      </c>
      <c r="H2278" s="5">
        <v>207600000</v>
      </c>
    </row>
    <row r="2279" spans="1:8" ht="18.75" x14ac:dyDescent="0.2">
      <c r="A2279" s="3" t="str">
        <f t="shared" si="275"/>
        <v>98/11/26</v>
      </c>
      <c r="B2279" s="3" t="str">
        <f t="shared" si="276"/>
        <v>كالاهاي مصرفي</v>
      </c>
      <c r="C2279" s="3" t="str">
        <f t="shared" si="277"/>
        <v>انبار مصرفي ZU1</v>
      </c>
      <c r="D2279" s="3" t="str">
        <f>"0105000037"</f>
        <v>0105000037</v>
      </c>
      <c r="E2279" s="3" t="str">
        <f>"اسپري مگنوفلاكس developer  SKD-S2"</f>
        <v>اسپري مگنوفلاكس developer  SKD-S2</v>
      </c>
      <c r="F2279" s="3" t="str">
        <f>"عدد"</f>
        <v>عدد</v>
      </c>
      <c r="G2279" s="3">
        <v>230</v>
      </c>
      <c r="H2279" s="5">
        <v>209000000</v>
      </c>
    </row>
    <row r="2280" spans="1:8" ht="18.75" x14ac:dyDescent="0.2">
      <c r="A2280" s="3" t="str">
        <f t="shared" si="275"/>
        <v>98/11/26</v>
      </c>
      <c r="B2280" s="3" t="str">
        <f t="shared" si="276"/>
        <v>كالاهاي مصرفي</v>
      </c>
      <c r="C2280" s="3" t="str">
        <f t="shared" si="277"/>
        <v>انبار مصرفي ZU1</v>
      </c>
      <c r="D2280" s="3" t="str">
        <f>"0204002129"</f>
        <v>0204002129</v>
      </c>
      <c r="E2280" s="3" t="str">
        <f>"اورينگ ژنراتور قطر 5.2mm"</f>
        <v>اورينگ ژنراتور قطر 5.2mm</v>
      </c>
      <c r="F2280" s="3" t="str">
        <f>"متر"</f>
        <v>متر</v>
      </c>
      <c r="G2280" s="3">
        <v>200</v>
      </c>
      <c r="H2280" s="5">
        <v>210000000</v>
      </c>
    </row>
    <row r="2281" spans="1:8" ht="18.75" x14ac:dyDescent="0.2">
      <c r="A2281" s="3" t="str">
        <f t="shared" si="275"/>
        <v>98/11/26</v>
      </c>
      <c r="B2281" s="3" t="str">
        <f t="shared" si="276"/>
        <v>كالاهاي مصرفي</v>
      </c>
      <c r="C2281" s="3" t="str">
        <f t="shared" si="277"/>
        <v>انبار مصرفي ZU1</v>
      </c>
      <c r="D2281" s="3" t="str">
        <f>"0215000191"</f>
        <v>0215000191</v>
      </c>
      <c r="E2281" s="3" t="str">
        <f>"فيلتر روغن و هوا كمپرسور VS15 با كد: LB962/2"</f>
        <v>فيلتر روغن و هوا كمپرسور VS15 با كد: LB962/2</v>
      </c>
      <c r="F2281" s="3" t="str">
        <f>"عدد"</f>
        <v>عدد</v>
      </c>
      <c r="G2281" s="3">
        <v>30</v>
      </c>
      <c r="H2281" s="5">
        <v>213000000</v>
      </c>
    </row>
    <row r="2282" spans="1:8" ht="18.75" x14ac:dyDescent="0.2">
      <c r="A2282" s="3" t="str">
        <f t="shared" si="275"/>
        <v>98/11/26</v>
      </c>
      <c r="B2282" s="3" t="str">
        <f t="shared" si="276"/>
        <v>كالاهاي مصرفي</v>
      </c>
      <c r="C2282" s="3" t="str">
        <f t="shared" si="277"/>
        <v>انبار مصرفي ZU1</v>
      </c>
      <c r="D2282" s="3" t="str">
        <f>"0204000458"</f>
        <v>0204000458</v>
      </c>
      <c r="E2282" s="3" t="str">
        <f>"گسكت مقاوم به بنزين و روغن ضخامت 5"</f>
        <v>گسكت مقاوم به بنزين و روغن ضخامت 5</v>
      </c>
      <c r="F2282" s="3" t="str">
        <f>"متر مربع"</f>
        <v>متر مربع</v>
      </c>
      <c r="G2282" s="3">
        <v>43</v>
      </c>
      <c r="H2282" s="5">
        <v>214619816</v>
      </c>
    </row>
    <row r="2283" spans="1:8" ht="18.75" x14ac:dyDescent="0.2">
      <c r="A2283" s="3" t="str">
        <f t="shared" si="275"/>
        <v>98/11/26</v>
      </c>
      <c r="B2283" s="3" t="str">
        <f t="shared" si="276"/>
        <v>كالاهاي مصرفي</v>
      </c>
      <c r="C2283" s="3" t="str">
        <f t="shared" si="277"/>
        <v>انبار مصرفي ZU1</v>
      </c>
      <c r="D2283" s="3" t="str">
        <f>"0102000186"</f>
        <v>0102000186</v>
      </c>
      <c r="E2283" s="3" t="str">
        <f>"رنگ EP-5285, Ral-9010"</f>
        <v>رنگ EP-5285, Ral-9010</v>
      </c>
      <c r="F2283" s="3" t="str">
        <f>"کيلوگرم"</f>
        <v>کيلوگرم</v>
      </c>
      <c r="G2283" s="3">
        <v>250</v>
      </c>
      <c r="H2283" s="5">
        <v>233750000</v>
      </c>
    </row>
    <row r="2284" spans="1:8" ht="18.75" x14ac:dyDescent="0.2">
      <c r="A2284" s="3" t="str">
        <f t="shared" si="275"/>
        <v>98/11/26</v>
      </c>
      <c r="B2284" s="3" t="str">
        <f t="shared" si="276"/>
        <v>كالاهاي مصرفي</v>
      </c>
      <c r="C2284" s="3" t="str">
        <f t="shared" si="277"/>
        <v>انبار مصرفي ZU1</v>
      </c>
      <c r="D2284" s="3" t="str">
        <f>"0103000246"</f>
        <v>0103000246</v>
      </c>
      <c r="E2284" s="3" t="str">
        <f>"پتاسيم هيدروكسيد"</f>
        <v>پتاسيم هيدروكسيد</v>
      </c>
      <c r="F2284" s="3" t="str">
        <f>"کيلوگرم"</f>
        <v>کيلوگرم</v>
      </c>
      <c r="G2284" s="3">
        <v>550</v>
      </c>
      <c r="H2284" s="5">
        <v>234250000</v>
      </c>
    </row>
    <row r="2285" spans="1:8" ht="18.75" x14ac:dyDescent="0.2">
      <c r="A2285" s="3" t="str">
        <f t="shared" si="275"/>
        <v>98/11/26</v>
      </c>
      <c r="B2285" s="3" t="str">
        <f t="shared" si="276"/>
        <v>كالاهاي مصرفي</v>
      </c>
      <c r="C2285" s="3" t="str">
        <f t="shared" si="277"/>
        <v>انبار مصرفي ZU1</v>
      </c>
      <c r="D2285" s="3" t="str">
        <f>"0211001712"</f>
        <v>0211001712</v>
      </c>
      <c r="E2285" s="3" t="str">
        <f>"سبد فلزي چهار طرف توري به ابعاد 80cm *80cm * 120cm"</f>
        <v>سبد فلزي چهار طرف توري به ابعاد 80cm *80cm * 120cm</v>
      </c>
      <c r="F2285" s="3" t="str">
        <f>"عدد"</f>
        <v>عدد</v>
      </c>
      <c r="G2285" s="3">
        <v>30</v>
      </c>
      <c r="H2285" s="5">
        <v>243600000</v>
      </c>
    </row>
    <row r="2286" spans="1:8" ht="18.75" x14ac:dyDescent="0.2">
      <c r="A2286" s="3" t="str">
        <f t="shared" si="275"/>
        <v>98/11/26</v>
      </c>
      <c r="B2286" s="3" t="str">
        <f t="shared" si="276"/>
        <v>كالاهاي مصرفي</v>
      </c>
      <c r="C2286" s="3" t="str">
        <f t="shared" si="277"/>
        <v>انبار مصرفي ZU1</v>
      </c>
      <c r="D2286" s="3" t="str">
        <f>"0212000080"</f>
        <v>0212000080</v>
      </c>
      <c r="E2286" s="3" t="str">
        <f>"عايق پتويي با روكش پارچه نسوز با ضخامت 100 ميليمتر"</f>
        <v>عايق پتويي با روكش پارچه نسوز با ضخامت 100 ميليمتر</v>
      </c>
      <c r="F2286" s="3" t="str">
        <f>"متر مربع"</f>
        <v>متر مربع</v>
      </c>
      <c r="G2286" s="3">
        <v>156</v>
      </c>
      <c r="H2286" s="5">
        <v>249366000</v>
      </c>
    </row>
    <row r="2287" spans="1:8" ht="18.75" x14ac:dyDescent="0.2">
      <c r="A2287" s="3" t="str">
        <f t="shared" si="275"/>
        <v>98/11/26</v>
      </c>
      <c r="B2287" s="3" t="str">
        <f t="shared" si="276"/>
        <v>كالاهاي مصرفي</v>
      </c>
      <c r="C2287" s="3" t="str">
        <f t="shared" si="277"/>
        <v>انبار مصرفي ZU1</v>
      </c>
      <c r="D2287" s="3" t="str">
        <f>"0211000005"</f>
        <v>0211000005</v>
      </c>
      <c r="E2287" s="3" t="str">
        <f>"غلتك تفلوني فيلتر پمپ هاوس"</f>
        <v>غلتك تفلوني فيلتر پمپ هاوس</v>
      </c>
      <c r="F2287" s="3" t="str">
        <f>"عدد"</f>
        <v>عدد</v>
      </c>
      <c r="G2287" s="3">
        <v>394</v>
      </c>
      <c r="H2287" s="5">
        <v>258070000</v>
      </c>
    </row>
    <row r="2288" spans="1:8" ht="18.75" x14ac:dyDescent="0.2">
      <c r="A2288" s="3" t="str">
        <f t="shared" si="275"/>
        <v>98/11/26</v>
      </c>
      <c r="B2288" s="3" t="str">
        <f t="shared" si="276"/>
        <v>كالاهاي مصرفي</v>
      </c>
      <c r="C2288" s="3" t="str">
        <f t="shared" si="277"/>
        <v>انبار مصرفي ZU1</v>
      </c>
      <c r="D2288" s="3" t="str">
        <f>"0106000146"</f>
        <v>0106000146</v>
      </c>
      <c r="E2288" s="3" t="str">
        <f>"روغن 20 ليتري ( shell turbo T46 )"</f>
        <v>روغن 20 ليتري ( shell turbo T46 )</v>
      </c>
      <c r="F2288" s="3" t="str">
        <f>"گالن"</f>
        <v>گالن</v>
      </c>
      <c r="G2288" s="3">
        <v>85</v>
      </c>
      <c r="H2288" s="5">
        <v>261211538</v>
      </c>
    </row>
    <row r="2289" spans="1:8" ht="18.75" x14ac:dyDescent="0.2">
      <c r="A2289" s="3" t="str">
        <f t="shared" si="275"/>
        <v>98/11/26</v>
      </c>
      <c r="B2289" s="3" t="str">
        <f t="shared" si="276"/>
        <v>كالاهاي مصرفي</v>
      </c>
      <c r="C2289" s="3" t="str">
        <f t="shared" si="277"/>
        <v>انبار مصرفي ZU1</v>
      </c>
      <c r="D2289" s="3" t="str">
        <f>"0106000235"</f>
        <v>0106000235</v>
      </c>
      <c r="E2289" s="3" t="str">
        <f>"گريس روسي VNII NP-225"</f>
        <v>گريس روسي VNII NP-225</v>
      </c>
      <c r="F2289" s="3" t="str">
        <f>"کيلوگرم"</f>
        <v>کيلوگرم</v>
      </c>
      <c r="G2289" s="3">
        <v>24</v>
      </c>
      <c r="H2289" s="5">
        <v>269940000</v>
      </c>
    </row>
    <row r="2290" spans="1:8" ht="18.75" x14ac:dyDescent="0.2">
      <c r="A2290" s="3" t="str">
        <f t="shared" si="275"/>
        <v>98/11/26</v>
      </c>
      <c r="B2290" s="3" t="str">
        <f t="shared" si="276"/>
        <v>كالاهاي مصرفي</v>
      </c>
      <c r="C2290" s="3" t="str">
        <f>"انبار مركزي ( عمومي )"</f>
        <v>انبار مركزي ( عمومي )</v>
      </c>
      <c r="D2290" s="3" t="str">
        <f>"0204000066"</f>
        <v>0204000066</v>
      </c>
      <c r="E2290" s="3" t="str">
        <f>"شير چشم الكترونيكي"</f>
        <v>شير چشم الكترونيكي</v>
      </c>
      <c r="F2290" s="3" t="str">
        <f>"عدد"</f>
        <v>عدد</v>
      </c>
      <c r="G2290" s="3">
        <v>12</v>
      </c>
      <c r="H2290" s="5">
        <v>270000000</v>
      </c>
    </row>
    <row r="2291" spans="1:8" ht="18.75" x14ac:dyDescent="0.2">
      <c r="A2291" s="3" t="str">
        <f t="shared" si="275"/>
        <v>98/11/26</v>
      </c>
      <c r="B2291" s="3" t="str">
        <f t="shared" si="276"/>
        <v>كالاهاي مصرفي</v>
      </c>
      <c r="C2291" s="3" t="str">
        <f t="shared" ref="C2291:C2320" si="278">"انبار مصرفي ZU1"</f>
        <v>انبار مصرفي ZU1</v>
      </c>
      <c r="D2291" s="3" t="str">
        <f>"0209000154"</f>
        <v>0209000154</v>
      </c>
      <c r="E2291" s="3" t="str">
        <f>"GLand bush VC 10 D001"</f>
        <v>GLand bush VC 10 D001</v>
      </c>
      <c r="F2291" s="3" t="str">
        <f>"عدد"</f>
        <v>عدد</v>
      </c>
      <c r="G2291" s="3">
        <v>2</v>
      </c>
      <c r="H2291" s="5">
        <v>270000000</v>
      </c>
    </row>
    <row r="2292" spans="1:8" ht="18.75" x14ac:dyDescent="0.2">
      <c r="A2292" s="3" t="str">
        <f t="shared" si="275"/>
        <v>98/11/26</v>
      </c>
      <c r="B2292" s="3" t="str">
        <f t="shared" si="276"/>
        <v>كالاهاي مصرفي</v>
      </c>
      <c r="C2292" s="3" t="str">
        <f t="shared" si="278"/>
        <v>انبار مصرفي ZU1</v>
      </c>
      <c r="D2292" s="3" t="str">
        <f>"0206000211"</f>
        <v>0206000211</v>
      </c>
      <c r="E2292" s="3" t="str">
        <f>"بست كمر بندي پلاستيكي 45 سانتي"</f>
        <v>بست كمر بندي پلاستيكي 45 سانتي</v>
      </c>
      <c r="F2292" s="3" t="str">
        <f>"بسته"</f>
        <v>بسته</v>
      </c>
      <c r="G2292" s="3">
        <v>336</v>
      </c>
      <c r="H2292" s="5">
        <v>286140691</v>
      </c>
    </row>
    <row r="2293" spans="1:8" ht="18.75" x14ac:dyDescent="0.2">
      <c r="A2293" s="3" t="str">
        <f t="shared" si="275"/>
        <v>98/11/26</v>
      </c>
      <c r="B2293" s="3" t="str">
        <f t="shared" si="276"/>
        <v>كالاهاي مصرفي</v>
      </c>
      <c r="C2293" s="3" t="str">
        <f t="shared" si="278"/>
        <v>انبار مصرفي ZU1</v>
      </c>
      <c r="D2293" s="3" t="str">
        <f>"0601000062"</f>
        <v>0601000062</v>
      </c>
      <c r="E2293" s="3" t="str">
        <f>"كفش كار ايمني سفيد"</f>
        <v>كفش كار ايمني سفيد</v>
      </c>
      <c r="F2293" s="3" t="str">
        <f>"جفت"</f>
        <v>جفت</v>
      </c>
      <c r="G2293" s="3">
        <v>217</v>
      </c>
      <c r="H2293" s="5">
        <v>292521242</v>
      </c>
    </row>
    <row r="2294" spans="1:8" ht="18.75" x14ac:dyDescent="0.2">
      <c r="A2294" s="3" t="str">
        <f t="shared" si="275"/>
        <v>98/11/26</v>
      </c>
      <c r="B2294" s="3" t="str">
        <f t="shared" si="276"/>
        <v>كالاهاي مصرفي</v>
      </c>
      <c r="C2294" s="3" t="str">
        <f t="shared" si="278"/>
        <v>انبار مصرفي ZU1</v>
      </c>
      <c r="D2294" s="3" t="str">
        <f>"0209000044"</f>
        <v>0209000044</v>
      </c>
      <c r="E2294" s="3" t="str">
        <f>"صفحه انتهايي مبدل حرارتي مدل M30-FG"</f>
        <v>صفحه انتهايي مبدل حرارتي مدل M30-FG</v>
      </c>
      <c r="F2294" s="3" t="str">
        <f>"عدد"</f>
        <v>عدد</v>
      </c>
      <c r="G2294" s="3">
        <v>6</v>
      </c>
      <c r="H2294" s="5">
        <v>294000000</v>
      </c>
    </row>
    <row r="2295" spans="1:8" ht="18.75" x14ac:dyDescent="0.2">
      <c r="A2295" s="3" t="str">
        <f t="shared" si="275"/>
        <v>98/11/26</v>
      </c>
      <c r="B2295" s="3" t="str">
        <f t="shared" si="276"/>
        <v>كالاهاي مصرفي</v>
      </c>
      <c r="C2295" s="3" t="str">
        <f t="shared" si="278"/>
        <v>انبار مصرفي ZU1</v>
      </c>
      <c r="D2295" s="3" t="str">
        <f>"0215000144"</f>
        <v>0215000144</v>
      </c>
      <c r="E2295" s="3" t="str">
        <f>"فيلتر روغن كمپرسور VF L-6718-5D"</f>
        <v>فيلتر روغن كمپرسور VF L-6718-5D</v>
      </c>
      <c r="F2295" s="3" t="str">
        <f>"عدد"</f>
        <v>عدد</v>
      </c>
      <c r="G2295" s="3">
        <v>27</v>
      </c>
      <c r="H2295" s="5">
        <v>297000000</v>
      </c>
    </row>
    <row r="2296" spans="1:8" ht="18.75" x14ac:dyDescent="0.2">
      <c r="A2296" s="3" t="str">
        <f t="shared" si="275"/>
        <v>98/11/26</v>
      </c>
      <c r="B2296" s="3" t="str">
        <f t="shared" si="276"/>
        <v>كالاهاي مصرفي</v>
      </c>
      <c r="C2296" s="3" t="str">
        <f t="shared" si="278"/>
        <v>انبار مصرفي ZU1</v>
      </c>
      <c r="D2296" s="3" t="str">
        <f>"0204001846"</f>
        <v>0204001846</v>
      </c>
      <c r="E2296" s="3" t="str">
        <f>"صفحات لاستيك آببندي مقاوم در مقابل بنزين و روغن ضخامت 8 ميل"</f>
        <v>صفحات لاستيك آببندي مقاوم در مقابل بنزين و روغن ضخامت 8 ميل</v>
      </c>
      <c r="F2296" s="3" t="str">
        <f>"متر مربع"</f>
        <v>متر مربع</v>
      </c>
      <c r="G2296" s="3">
        <v>116</v>
      </c>
      <c r="H2296" s="5">
        <v>297050000</v>
      </c>
    </row>
    <row r="2297" spans="1:8" ht="18.75" x14ac:dyDescent="0.2">
      <c r="A2297" s="3" t="str">
        <f t="shared" si="275"/>
        <v>98/11/26</v>
      </c>
      <c r="B2297" s="3" t="str">
        <f t="shared" si="276"/>
        <v>كالاهاي مصرفي</v>
      </c>
      <c r="C2297" s="3" t="str">
        <f t="shared" si="278"/>
        <v>انبار مصرفي ZU1</v>
      </c>
      <c r="D2297" s="3" t="str">
        <f>"0105000035"</f>
        <v>0105000035</v>
      </c>
      <c r="E2297" s="3" t="str">
        <f>"اسپري مگنوفلاكس   cleaner    SKC -S"</f>
        <v>اسپري مگنوفلاكس   cleaner    SKC -S</v>
      </c>
      <c r="F2297" s="3" t="str">
        <f>"عدد"</f>
        <v>عدد</v>
      </c>
      <c r="G2297" s="3">
        <v>300</v>
      </c>
      <c r="H2297" s="5">
        <v>300000000</v>
      </c>
    </row>
    <row r="2298" spans="1:8" ht="18.75" x14ac:dyDescent="0.2">
      <c r="A2298" s="3" t="str">
        <f t="shared" si="275"/>
        <v>98/11/26</v>
      </c>
      <c r="B2298" s="3" t="str">
        <f t="shared" si="276"/>
        <v>كالاهاي مصرفي</v>
      </c>
      <c r="C2298" s="3" t="str">
        <f t="shared" si="278"/>
        <v>انبار مصرفي ZU1</v>
      </c>
      <c r="D2298" s="3" t="str">
        <f>"1002000224"</f>
        <v>1002000224</v>
      </c>
      <c r="E2298" s="3" t="str">
        <f>"هدايت كننده  تفلوني"</f>
        <v>هدايت كننده  تفلوني</v>
      </c>
      <c r="F2298" s="3" t="str">
        <f>"عدد"</f>
        <v>عدد</v>
      </c>
      <c r="G2298" s="3">
        <v>220</v>
      </c>
      <c r="H2298" s="5">
        <v>312383704</v>
      </c>
    </row>
    <row r="2299" spans="1:8" ht="18.75" x14ac:dyDescent="0.2">
      <c r="A2299" s="3" t="str">
        <f t="shared" si="275"/>
        <v>98/11/26</v>
      </c>
      <c r="B2299" s="3" t="str">
        <f t="shared" si="276"/>
        <v>كالاهاي مصرفي</v>
      </c>
      <c r="C2299" s="3" t="str">
        <f t="shared" si="278"/>
        <v>انبار مصرفي ZU1</v>
      </c>
      <c r="D2299" s="3" t="str">
        <f>"0106000015"</f>
        <v>0106000015</v>
      </c>
      <c r="E2299" s="3" t="str">
        <f>"گريس Isoflex  Topas  L152"</f>
        <v>گريس Isoflex  Topas  L152</v>
      </c>
      <c r="F2299" s="3" t="str">
        <f>"کيلوگرم"</f>
        <v>کيلوگرم</v>
      </c>
      <c r="G2299" s="3">
        <v>90</v>
      </c>
      <c r="H2299" s="5">
        <v>315000000</v>
      </c>
    </row>
    <row r="2300" spans="1:8" ht="18.75" x14ac:dyDescent="0.2">
      <c r="A2300" s="3" t="str">
        <f t="shared" si="275"/>
        <v>98/11/26</v>
      </c>
      <c r="B2300" s="3" t="str">
        <f t="shared" si="276"/>
        <v>كالاهاي مصرفي</v>
      </c>
      <c r="C2300" s="3" t="str">
        <f t="shared" si="278"/>
        <v>انبار مصرفي ZU1</v>
      </c>
      <c r="D2300" s="3" t="str">
        <f>"0215000136"</f>
        <v>0215000136</v>
      </c>
      <c r="E2300" s="3" t="str">
        <f>"فيلتر آئروسول مدل AFA RSP-20"</f>
        <v>فيلتر آئروسول مدل AFA RSP-20</v>
      </c>
      <c r="F2300" s="3" t="str">
        <f>"عدد"</f>
        <v>عدد</v>
      </c>
      <c r="G2300" s="3">
        <v>1500</v>
      </c>
      <c r="H2300" s="5">
        <v>315000000</v>
      </c>
    </row>
    <row r="2301" spans="1:8" ht="18.75" x14ac:dyDescent="0.2">
      <c r="A2301" s="3" t="str">
        <f t="shared" si="275"/>
        <v>98/11/26</v>
      </c>
      <c r="B2301" s="3" t="str">
        <f t="shared" si="276"/>
        <v>كالاهاي مصرفي</v>
      </c>
      <c r="C2301" s="3" t="str">
        <f t="shared" si="278"/>
        <v>انبار مصرفي ZU1</v>
      </c>
      <c r="D2301" s="3" t="str">
        <f>"0204000409"</f>
        <v>0204000409</v>
      </c>
      <c r="E2301" s="3" t="str">
        <f>"بيرينگ M/C3-6330"</f>
        <v>بيرينگ M/C3-6330</v>
      </c>
      <c r="F2301" s="3" t="str">
        <f>"عدد"</f>
        <v>عدد</v>
      </c>
      <c r="G2301" s="3">
        <v>8</v>
      </c>
      <c r="H2301" s="5">
        <v>320000000</v>
      </c>
    </row>
    <row r="2302" spans="1:8" ht="18.75" x14ac:dyDescent="0.2">
      <c r="A2302" s="3" t="str">
        <f t="shared" si="275"/>
        <v>98/11/26</v>
      </c>
      <c r="B2302" s="3" t="str">
        <f t="shared" si="276"/>
        <v>كالاهاي مصرفي</v>
      </c>
      <c r="C2302" s="3" t="str">
        <f t="shared" si="278"/>
        <v>انبار مصرفي ZU1</v>
      </c>
      <c r="D2302" s="3" t="str">
        <f>"0204000473"</f>
        <v>0204000473</v>
      </c>
      <c r="E2302" s="3" t="str">
        <f>"گسكت مقاوم به اسيد و روغن ضخامت 4 FRENZELIT"</f>
        <v>گسكت مقاوم به اسيد و روغن ضخامت 4 FRENZELIT</v>
      </c>
      <c r="F2302" s="3" t="str">
        <f>"متر مربع"</f>
        <v>متر مربع</v>
      </c>
      <c r="G2302" s="3">
        <v>43</v>
      </c>
      <c r="H2302" s="5">
        <v>332290770</v>
      </c>
    </row>
    <row r="2303" spans="1:8" ht="18.75" x14ac:dyDescent="0.2">
      <c r="A2303" s="3" t="str">
        <f t="shared" si="275"/>
        <v>98/11/26</v>
      </c>
      <c r="B2303" s="3" t="str">
        <f t="shared" si="276"/>
        <v>كالاهاي مصرفي</v>
      </c>
      <c r="C2303" s="3" t="str">
        <f t="shared" si="278"/>
        <v>انبار مصرفي ZU1</v>
      </c>
      <c r="D2303" s="3" t="str">
        <f>"0215000185"</f>
        <v>0215000185</v>
      </c>
      <c r="E2303" s="3" t="str">
        <f>"فيلتر روغن عدسي شكل TA33N002"</f>
        <v>فيلتر روغن عدسي شكل TA33N002</v>
      </c>
      <c r="F2303" s="3" t="str">
        <f>"عدد"</f>
        <v>عدد</v>
      </c>
      <c r="G2303" s="3">
        <v>149</v>
      </c>
      <c r="H2303" s="5">
        <v>337932000</v>
      </c>
    </row>
    <row r="2304" spans="1:8" ht="18.75" x14ac:dyDescent="0.2">
      <c r="A2304" s="3" t="str">
        <f t="shared" si="275"/>
        <v>98/11/26</v>
      </c>
      <c r="B2304" s="3" t="str">
        <f t="shared" si="276"/>
        <v>كالاهاي مصرفي</v>
      </c>
      <c r="C2304" s="3" t="str">
        <f t="shared" si="278"/>
        <v>انبار مصرفي ZU1</v>
      </c>
      <c r="D2304" s="3" t="str">
        <f>"0212000117"</f>
        <v>0212000117</v>
      </c>
      <c r="E2304" s="3" t="str">
        <f>"عايق طنابي بافته شده با الياف سراميك با سطح مقطع20 ميليمتر"</f>
        <v>عايق طنابي بافته شده با الياف سراميك با سطح مقطع20 ميليمتر</v>
      </c>
      <c r="F2304" s="3" t="str">
        <f>"متر"</f>
        <v>متر</v>
      </c>
      <c r="G2304" s="3">
        <v>1340</v>
      </c>
      <c r="H2304" s="5">
        <v>348600000</v>
      </c>
    </row>
    <row r="2305" spans="1:8" ht="18.75" x14ac:dyDescent="0.2">
      <c r="A2305" s="3" t="str">
        <f t="shared" si="275"/>
        <v>98/11/26</v>
      </c>
      <c r="B2305" s="3" t="str">
        <f t="shared" si="276"/>
        <v>كالاهاي مصرفي</v>
      </c>
      <c r="C2305" s="3" t="str">
        <f t="shared" si="278"/>
        <v>انبار مصرفي ZU1</v>
      </c>
      <c r="D2305" s="3" t="str">
        <f>"0204000258"</f>
        <v>0204000258</v>
      </c>
      <c r="E2305" s="3" t="str">
        <f>"پكينگ آبندي فشاري 16*16 گرافيت خالص"</f>
        <v>پكينگ آبندي فشاري 16*16 گرافيت خالص</v>
      </c>
      <c r="F2305" s="3" t="str">
        <f>"کيلوگرم"</f>
        <v>کيلوگرم</v>
      </c>
      <c r="G2305" s="3">
        <v>215</v>
      </c>
      <c r="H2305" s="5">
        <v>354750000</v>
      </c>
    </row>
    <row r="2306" spans="1:8" ht="18.75" x14ac:dyDescent="0.2">
      <c r="A2306" s="3" t="str">
        <f t="shared" ref="A2306:A2328" si="279">"98/11/26"</f>
        <v>98/11/26</v>
      </c>
      <c r="B2306" s="3" t="str">
        <f t="shared" ref="B2306:B2328" si="280">"كالاهاي مصرفي"</f>
        <v>كالاهاي مصرفي</v>
      </c>
      <c r="C2306" s="3" t="str">
        <f t="shared" si="278"/>
        <v>انبار مصرفي ZU1</v>
      </c>
      <c r="D2306" s="3" t="str">
        <f>"0211001283"</f>
        <v>0211001283</v>
      </c>
      <c r="E2306" s="3" t="str">
        <f>"الکترود ESAB 7018"</f>
        <v>الکترود ESAB 7018</v>
      </c>
      <c r="F2306" s="3" t="str">
        <f>"کيلوگرم"</f>
        <v>کيلوگرم</v>
      </c>
      <c r="G2306" s="3">
        <v>2161</v>
      </c>
      <c r="H2306" s="5">
        <v>356565000</v>
      </c>
    </row>
    <row r="2307" spans="1:8" ht="18.75" x14ac:dyDescent="0.2">
      <c r="A2307" s="3" t="str">
        <f t="shared" si="279"/>
        <v>98/11/26</v>
      </c>
      <c r="B2307" s="3" t="str">
        <f t="shared" si="280"/>
        <v>كالاهاي مصرفي</v>
      </c>
      <c r="C2307" s="3" t="str">
        <f t="shared" si="278"/>
        <v>انبار مصرفي ZU1</v>
      </c>
      <c r="D2307" s="3" t="str">
        <f>"0215000163"</f>
        <v>0215000163</v>
      </c>
      <c r="E2307" s="3" t="str">
        <f>"فيلتر نواري LFS-2-25"</f>
        <v>فيلتر نواري LFS-2-25</v>
      </c>
      <c r="F2307" s="3" t="str">
        <f>"رول"</f>
        <v>رول</v>
      </c>
      <c r="G2307" s="3">
        <v>100</v>
      </c>
      <c r="H2307" s="5">
        <v>360441900</v>
      </c>
    </row>
    <row r="2308" spans="1:8" ht="18.75" x14ac:dyDescent="0.2">
      <c r="A2308" s="3" t="str">
        <f t="shared" si="279"/>
        <v>98/11/26</v>
      </c>
      <c r="B2308" s="3" t="str">
        <f t="shared" si="280"/>
        <v>كالاهاي مصرفي</v>
      </c>
      <c r="C2308" s="3" t="str">
        <f t="shared" si="278"/>
        <v>انبار مصرفي ZU1</v>
      </c>
      <c r="D2308" s="3" t="str">
        <f>"0214000226"</f>
        <v>0214000226</v>
      </c>
      <c r="E2308" s="3" t="str">
        <f>"ورقه تفلوني ( فتاراپلاست)  ضخامت  5 ميلي متر"</f>
        <v>ورقه تفلوني ( فتاراپلاست)  ضخامت  5 ميلي متر</v>
      </c>
      <c r="F2308" s="3" t="str">
        <f>"متر مربع"</f>
        <v>متر مربع</v>
      </c>
      <c r="G2308" s="3">
        <v>26.48</v>
      </c>
      <c r="H2308" s="5">
        <v>361693238</v>
      </c>
    </row>
    <row r="2309" spans="1:8" ht="18.75" x14ac:dyDescent="0.2">
      <c r="A2309" s="3" t="str">
        <f t="shared" si="279"/>
        <v>98/11/26</v>
      </c>
      <c r="B2309" s="3" t="str">
        <f t="shared" si="280"/>
        <v>كالاهاي مصرفي</v>
      </c>
      <c r="C2309" s="3" t="str">
        <f t="shared" si="278"/>
        <v>انبار مصرفي ZU1</v>
      </c>
      <c r="D2309" s="3" t="str">
        <f>"0215000099"</f>
        <v>0215000099</v>
      </c>
      <c r="E2309" s="3" t="str">
        <f>"فيلتر هوا ديزل ژنراتور"</f>
        <v>فيلتر هوا ديزل ژنراتور</v>
      </c>
      <c r="F2309" s="3" t="str">
        <f>"عدد"</f>
        <v>عدد</v>
      </c>
      <c r="G2309" s="3">
        <v>250</v>
      </c>
      <c r="H2309" s="5">
        <v>366789941</v>
      </c>
    </row>
    <row r="2310" spans="1:8" ht="18.75" x14ac:dyDescent="0.2">
      <c r="A2310" s="3" t="str">
        <f t="shared" si="279"/>
        <v>98/11/26</v>
      </c>
      <c r="B2310" s="3" t="str">
        <f t="shared" si="280"/>
        <v>كالاهاي مصرفي</v>
      </c>
      <c r="C2310" s="3" t="str">
        <f t="shared" si="278"/>
        <v>انبار مصرفي ZU1</v>
      </c>
      <c r="D2310" s="3" t="str">
        <f>"0212000081"</f>
        <v>0212000081</v>
      </c>
      <c r="E2310" s="3" t="str">
        <f>"عايق طنابي بافته شده با الياف سراميك با سطح مقطع25 ميليمتر"</f>
        <v>عايق طنابي بافته شده با الياف سراميك با سطح مقطع25 ميليمتر</v>
      </c>
      <c r="F2310" s="3" t="str">
        <f>"متر"</f>
        <v>متر</v>
      </c>
      <c r="G2310" s="3">
        <v>1040</v>
      </c>
      <c r="H2310" s="5">
        <v>392280000</v>
      </c>
    </row>
    <row r="2311" spans="1:8" ht="18.75" x14ac:dyDescent="0.2">
      <c r="A2311" s="3" t="str">
        <f t="shared" si="279"/>
        <v>98/11/26</v>
      </c>
      <c r="B2311" s="3" t="str">
        <f t="shared" si="280"/>
        <v>كالاهاي مصرفي</v>
      </c>
      <c r="C2311" s="3" t="str">
        <f t="shared" si="278"/>
        <v>انبار مصرفي ZU1</v>
      </c>
      <c r="D2311" s="3" t="str">
        <f>"0204001841"</f>
        <v>0204001841</v>
      </c>
      <c r="E2311" s="3" t="str">
        <f>"گسكت گرافيتي مقاوم به اسيد و روغن ضخامت 5"</f>
        <v>گسكت گرافيتي مقاوم به اسيد و روغن ضخامت 5</v>
      </c>
      <c r="F2311" s="3" t="str">
        <f>"متر مربع"</f>
        <v>متر مربع</v>
      </c>
      <c r="G2311" s="3">
        <v>40</v>
      </c>
      <c r="H2311" s="5">
        <v>395000000</v>
      </c>
    </row>
    <row r="2312" spans="1:8" ht="18.75" x14ac:dyDescent="0.2">
      <c r="A2312" s="3" t="str">
        <f t="shared" si="279"/>
        <v>98/11/26</v>
      </c>
      <c r="B2312" s="3" t="str">
        <f t="shared" si="280"/>
        <v>كالاهاي مصرفي</v>
      </c>
      <c r="C2312" s="3" t="str">
        <f t="shared" si="278"/>
        <v>انبار مصرفي ZU1</v>
      </c>
      <c r="D2312" s="3" t="str">
        <f>"0103000305"</f>
        <v>0103000305</v>
      </c>
      <c r="E2312" s="3" t="str">
        <f>"رزين آمبرجت 4200CL"</f>
        <v>رزين آمبرجت 4200CL</v>
      </c>
      <c r="F2312" s="3" t="str">
        <f>"ليتر"</f>
        <v>ليتر</v>
      </c>
      <c r="G2312" s="3">
        <v>1600</v>
      </c>
      <c r="H2312" s="5">
        <v>411888000</v>
      </c>
    </row>
    <row r="2313" spans="1:8" ht="18.75" x14ac:dyDescent="0.2">
      <c r="A2313" s="3" t="str">
        <f t="shared" si="279"/>
        <v>98/11/26</v>
      </c>
      <c r="B2313" s="3" t="str">
        <f t="shared" si="280"/>
        <v>كالاهاي مصرفي</v>
      </c>
      <c r="C2313" s="3" t="str">
        <f t="shared" si="278"/>
        <v>انبار مصرفي ZU1</v>
      </c>
      <c r="D2313" s="3" t="str">
        <f>"0106000044"</f>
        <v>0106000044</v>
      </c>
      <c r="E2313" s="3" t="str">
        <f>"روغن Bitzer - BSE 170 چهار ليتري"</f>
        <v>روغن Bitzer - BSE 170 چهار ليتري</v>
      </c>
      <c r="F2313" s="3" t="str">
        <f>"گالن"</f>
        <v>گالن</v>
      </c>
      <c r="G2313" s="3">
        <v>25</v>
      </c>
      <c r="H2313" s="5">
        <v>425000000</v>
      </c>
    </row>
    <row r="2314" spans="1:8" ht="18.75" x14ac:dyDescent="0.2">
      <c r="A2314" s="3" t="str">
        <f t="shared" si="279"/>
        <v>98/11/26</v>
      </c>
      <c r="B2314" s="3" t="str">
        <f t="shared" si="280"/>
        <v>كالاهاي مصرفي</v>
      </c>
      <c r="C2314" s="3" t="str">
        <f t="shared" si="278"/>
        <v>انبار مصرفي ZU1</v>
      </c>
      <c r="D2314" s="3" t="str">
        <f>"0211001826"</f>
        <v>0211001826</v>
      </c>
      <c r="E2314" s="3" t="str">
        <f>"بشكه 60 ليتري پلاستيكي"</f>
        <v>بشكه 60 ليتري پلاستيكي</v>
      </c>
      <c r="F2314" s="3" t="str">
        <f>"گالن"</f>
        <v>گالن</v>
      </c>
      <c r="G2314" s="3">
        <v>550</v>
      </c>
      <c r="H2314" s="5">
        <v>450500000</v>
      </c>
    </row>
    <row r="2315" spans="1:8" ht="18.75" x14ac:dyDescent="0.2">
      <c r="A2315" s="3" t="str">
        <f t="shared" si="279"/>
        <v>98/11/26</v>
      </c>
      <c r="B2315" s="3" t="str">
        <f t="shared" si="280"/>
        <v>كالاهاي مصرفي</v>
      </c>
      <c r="C2315" s="3" t="str">
        <f t="shared" si="278"/>
        <v>انبار مصرفي ZU1</v>
      </c>
      <c r="D2315" s="3" t="str">
        <f>"0214000314"</f>
        <v>0214000314</v>
      </c>
      <c r="E2315" s="3" t="str">
        <f>"پروتكتور كندانسور"</f>
        <v>پروتكتور كندانسور</v>
      </c>
      <c r="F2315" s="3" t="str">
        <f>"عدد"</f>
        <v>عدد</v>
      </c>
      <c r="G2315" s="3">
        <v>102</v>
      </c>
      <c r="H2315" s="5">
        <v>459000000</v>
      </c>
    </row>
    <row r="2316" spans="1:8" ht="18.75" x14ac:dyDescent="0.2">
      <c r="A2316" s="3" t="str">
        <f t="shared" si="279"/>
        <v>98/11/26</v>
      </c>
      <c r="B2316" s="3" t="str">
        <f t="shared" si="280"/>
        <v>كالاهاي مصرفي</v>
      </c>
      <c r="C2316" s="3" t="str">
        <f t="shared" si="278"/>
        <v>انبار مصرفي ZU1</v>
      </c>
      <c r="D2316" s="3" t="str">
        <f>"0103000059"</f>
        <v>0103000059</v>
      </c>
      <c r="E2316" s="3" t="str">
        <f>"تري سديم فسفات"</f>
        <v>تري سديم فسفات</v>
      </c>
      <c r="F2316" s="3" t="str">
        <f>"کيلوگرم"</f>
        <v>کيلوگرم</v>
      </c>
      <c r="G2316" s="3">
        <v>2325</v>
      </c>
      <c r="H2316" s="5">
        <v>473200000</v>
      </c>
    </row>
    <row r="2317" spans="1:8" ht="18.75" x14ac:dyDescent="0.2">
      <c r="A2317" s="3" t="str">
        <f t="shared" si="279"/>
        <v>98/11/26</v>
      </c>
      <c r="B2317" s="3" t="str">
        <f t="shared" si="280"/>
        <v>كالاهاي مصرفي</v>
      </c>
      <c r="C2317" s="3" t="str">
        <f t="shared" si="278"/>
        <v>انبار مصرفي ZU1</v>
      </c>
      <c r="D2317" s="3" t="str">
        <f>"0215000060"</f>
        <v>0215000060</v>
      </c>
      <c r="E2317" s="3" t="str">
        <f>"فيلتر drier core MFR :castel (كد 4491/A )"</f>
        <v>فيلتر drier core MFR :castel (كد 4491/A )</v>
      </c>
      <c r="F2317" s="3" t="str">
        <f>"عدد"</f>
        <v>عدد</v>
      </c>
      <c r="G2317" s="3">
        <v>55</v>
      </c>
      <c r="H2317" s="5">
        <v>488000000</v>
      </c>
    </row>
    <row r="2318" spans="1:8" ht="18.75" x14ac:dyDescent="0.2">
      <c r="A2318" s="3" t="str">
        <f t="shared" si="279"/>
        <v>98/11/26</v>
      </c>
      <c r="B2318" s="3" t="str">
        <f t="shared" si="280"/>
        <v>كالاهاي مصرفي</v>
      </c>
      <c r="C2318" s="3" t="str">
        <f t="shared" si="278"/>
        <v>انبار مصرفي ZU1</v>
      </c>
      <c r="D2318" s="3" t="str">
        <f>"0106000150"</f>
        <v>0106000150</v>
      </c>
      <c r="E2318" s="3" t="str">
        <f>"روغن Shell Turbo T46 بشكه 209 ليتري"</f>
        <v>روغن Shell Turbo T46 بشكه 209 ليتري</v>
      </c>
      <c r="F2318" s="3" t="str">
        <f>"بشكه"</f>
        <v>بشكه</v>
      </c>
      <c r="G2318" s="3">
        <v>30</v>
      </c>
      <c r="H2318" s="5">
        <v>552000000</v>
      </c>
    </row>
    <row r="2319" spans="1:8" ht="18.75" x14ac:dyDescent="0.2">
      <c r="A2319" s="3" t="str">
        <f t="shared" si="279"/>
        <v>98/11/26</v>
      </c>
      <c r="B2319" s="3" t="str">
        <f t="shared" si="280"/>
        <v>كالاهاي مصرفي</v>
      </c>
      <c r="C2319" s="3" t="str">
        <f t="shared" si="278"/>
        <v>انبار مصرفي ZU1</v>
      </c>
      <c r="D2319" s="3" t="str">
        <f>"0204000644"</f>
        <v>0204000644</v>
      </c>
      <c r="E2319" s="3" t="str">
        <f>"لرزه گير لاستيكي انعطاف پذير قطر 1400 ميليمتر"</f>
        <v>لرزه گير لاستيكي انعطاف پذير قطر 1400 ميليمتر</v>
      </c>
      <c r="F2319" s="3" t="str">
        <f>"عدد"</f>
        <v>عدد</v>
      </c>
      <c r="G2319" s="3">
        <v>2</v>
      </c>
      <c r="H2319" s="5">
        <v>590000000</v>
      </c>
    </row>
    <row r="2320" spans="1:8" ht="18.75" x14ac:dyDescent="0.2">
      <c r="A2320" s="3" t="str">
        <f t="shared" si="279"/>
        <v>98/11/26</v>
      </c>
      <c r="B2320" s="3" t="str">
        <f t="shared" si="280"/>
        <v>كالاهاي مصرفي</v>
      </c>
      <c r="C2320" s="3" t="str">
        <f t="shared" si="278"/>
        <v>انبار مصرفي ZU1</v>
      </c>
      <c r="D2320" s="3" t="str">
        <f>"0214000066"</f>
        <v>0214000066</v>
      </c>
      <c r="E2320" s="3" t="str">
        <f>"ورق آلومنيوم 70 ميكرون"</f>
        <v>ورق آلومنيوم 70 ميكرون</v>
      </c>
      <c r="F2320" s="3" t="str">
        <f>"کيلوگرم"</f>
        <v>کيلوگرم</v>
      </c>
      <c r="G2320" s="3">
        <v>5000</v>
      </c>
      <c r="H2320" s="5">
        <v>650000000</v>
      </c>
    </row>
    <row r="2321" spans="1:8" ht="18.75" x14ac:dyDescent="0.2">
      <c r="A2321" s="3" t="str">
        <f t="shared" si="279"/>
        <v>98/11/26</v>
      </c>
      <c r="B2321" s="3" t="str">
        <f t="shared" si="280"/>
        <v>كالاهاي مصرفي</v>
      </c>
      <c r="C2321" s="3" t="str">
        <f>"انبار مركزي ( عمومي )"</f>
        <v>انبار مركزي ( عمومي )</v>
      </c>
      <c r="D2321" s="3" t="str">
        <f>"0601000031"</f>
        <v>0601000031</v>
      </c>
      <c r="E2321" s="3" t="str">
        <f>"كفش كار ايمني"</f>
        <v>كفش كار ايمني</v>
      </c>
      <c r="F2321" s="3" t="str">
        <f>"جفت"</f>
        <v>جفت</v>
      </c>
      <c r="G2321" s="3">
        <v>627</v>
      </c>
      <c r="H2321" s="5">
        <v>688083669</v>
      </c>
    </row>
    <row r="2322" spans="1:8" ht="18.75" x14ac:dyDescent="0.2">
      <c r="A2322" s="3" t="str">
        <f t="shared" si="279"/>
        <v>98/11/26</v>
      </c>
      <c r="B2322" s="3" t="str">
        <f t="shared" si="280"/>
        <v>كالاهاي مصرفي</v>
      </c>
      <c r="C2322" s="3" t="str">
        <f t="shared" ref="C2322:C2328" si="281">"انبار مصرفي ZU1"</f>
        <v>انبار مصرفي ZU1</v>
      </c>
      <c r="D2322" s="3" t="str">
        <f>"0203000299"</f>
        <v>0203000299</v>
      </c>
      <c r="E2322" s="3" t="str">
        <f>"كاتد فداشونده بزرگ تيپ 7"</f>
        <v>كاتد فداشونده بزرگ تيپ 7</v>
      </c>
      <c r="F2322" s="3" t="str">
        <f>"عدد"</f>
        <v>عدد</v>
      </c>
      <c r="G2322" s="3">
        <v>158</v>
      </c>
      <c r="H2322" s="5">
        <v>734700000</v>
      </c>
    </row>
    <row r="2323" spans="1:8" ht="18.75" x14ac:dyDescent="0.2">
      <c r="A2323" s="3" t="str">
        <f t="shared" si="279"/>
        <v>98/11/26</v>
      </c>
      <c r="B2323" s="3" t="str">
        <f t="shared" si="280"/>
        <v>كالاهاي مصرفي</v>
      </c>
      <c r="C2323" s="3" t="str">
        <f t="shared" si="281"/>
        <v>انبار مصرفي ZU1</v>
      </c>
      <c r="D2323" s="3" t="str">
        <f>"0106000121"</f>
        <v>0106000121</v>
      </c>
      <c r="E2323" s="3" t="str">
        <f>"روغن Mobil Delvac 1440 بشكه 208 ليتري"</f>
        <v>روغن Mobil Delvac 1440 بشكه 208 ليتري</v>
      </c>
      <c r="F2323" s="3" t="str">
        <f>"بشكه"</f>
        <v>بشكه</v>
      </c>
      <c r="G2323" s="3">
        <v>30</v>
      </c>
      <c r="H2323" s="5">
        <v>750654545</v>
      </c>
    </row>
    <row r="2324" spans="1:8" ht="18.75" x14ac:dyDescent="0.2">
      <c r="A2324" s="3" t="str">
        <f t="shared" si="279"/>
        <v>98/11/26</v>
      </c>
      <c r="B2324" s="3" t="str">
        <f t="shared" si="280"/>
        <v>كالاهاي مصرفي</v>
      </c>
      <c r="C2324" s="3" t="str">
        <f t="shared" si="281"/>
        <v>انبار مصرفي ZU1</v>
      </c>
      <c r="D2324" s="3" t="str">
        <f>"0106000149"</f>
        <v>0106000149</v>
      </c>
      <c r="E2324" s="3" t="str">
        <f>"روغن Totl Lunaria FR68 بشكه 208 ليتري"</f>
        <v>روغن Totl Lunaria FR68 بشكه 208 ليتري</v>
      </c>
      <c r="F2324" s="3" t="str">
        <f>"بشكه"</f>
        <v>بشكه</v>
      </c>
      <c r="G2324" s="3">
        <v>7.9998461538461498</v>
      </c>
      <c r="H2324" s="5">
        <v>863704116</v>
      </c>
    </row>
    <row r="2325" spans="1:8" ht="18.75" x14ac:dyDescent="0.2">
      <c r="A2325" s="3" t="str">
        <f t="shared" si="279"/>
        <v>98/11/26</v>
      </c>
      <c r="B2325" s="3" t="str">
        <f t="shared" si="280"/>
        <v>كالاهاي مصرفي</v>
      </c>
      <c r="C2325" s="3" t="str">
        <f t="shared" si="281"/>
        <v>انبار مصرفي ZU1</v>
      </c>
      <c r="D2325" s="3" t="str">
        <f>"0215000002"</f>
        <v>0215000002</v>
      </c>
      <c r="E2325" s="3" t="str">
        <f>"فيلتر كيسه اي F8 592*592*600"</f>
        <v>فيلتر كيسه اي F8 592*592*600</v>
      </c>
      <c r="F2325" s="3" t="str">
        <f>"عدد"</f>
        <v>عدد</v>
      </c>
      <c r="G2325" s="3">
        <v>520</v>
      </c>
      <c r="H2325" s="5">
        <v>982800000</v>
      </c>
    </row>
    <row r="2326" spans="1:8" ht="18.75" x14ac:dyDescent="0.2">
      <c r="A2326" s="3" t="str">
        <f t="shared" si="279"/>
        <v>98/11/26</v>
      </c>
      <c r="B2326" s="3" t="str">
        <f t="shared" si="280"/>
        <v>كالاهاي مصرفي</v>
      </c>
      <c r="C2326" s="3" t="str">
        <f t="shared" si="281"/>
        <v>انبار مصرفي ZU1</v>
      </c>
      <c r="D2326" s="3" t="str">
        <f>"0104000011"</f>
        <v>0104000011</v>
      </c>
      <c r="E2326" s="3" t="str">
        <f>"مبرد گاز فريون 12 (R12 ) سيزده و نيم كيلويي"</f>
        <v>مبرد گاز فريون 12 (R12 ) سيزده و نيم كيلويي</v>
      </c>
      <c r="F2326" s="3" t="str">
        <f>"سيلندر"</f>
        <v>سيلندر</v>
      </c>
      <c r="G2326" s="3">
        <v>67</v>
      </c>
      <c r="H2326" s="5">
        <v>1407000000</v>
      </c>
    </row>
    <row r="2327" spans="1:8" ht="18.75" x14ac:dyDescent="0.2">
      <c r="A2327" s="3" t="str">
        <f t="shared" si="279"/>
        <v>98/11/26</v>
      </c>
      <c r="B2327" s="3" t="str">
        <f t="shared" si="280"/>
        <v>كالاهاي مصرفي</v>
      </c>
      <c r="C2327" s="3" t="str">
        <f t="shared" si="281"/>
        <v>انبار مصرفي ZU1</v>
      </c>
      <c r="D2327" s="3" t="str">
        <f>"0215000006"</f>
        <v>0215000006</v>
      </c>
      <c r="E2327" s="3" t="str">
        <f>"فيلتر سوخت عدسي شكل"</f>
        <v>فيلتر سوخت عدسي شكل</v>
      </c>
      <c r="F2327" s="3" t="str">
        <f>"عدد"</f>
        <v>عدد</v>
      </c>
      <c r="G2327" s="3">
        <v>5625</v>
      </c>
      <c r="H2327" s="5">
        <v>2294819792</v>
      </c>
    </row>
    <row r="2328" spans="1:8" ht="18.75" x14ac:dyDescent="0.2">
      <c r="A2328" s="3" t="str">
        <f t="shared" si="279"/>
        <v>98/11/26</v>
      </c>
      <c r="B2328" s="3" t="str">
        <f t="shared" si="280"/>
        <v>كالاهاي مصرفي</v>
      </c>
      <c r="C2328" s="3" t="str">
        <f t="shared" si="281"/>
        <v>انبار مصرفي ZU1</v>
      </c>
      <c r="D2328" s="3" t="str">
        <f>"0103000065"</f>
        <v>0103000065</v>
      </c>
      <c r="E2328" s="3" t="str">
        <f>"هيدرازين هيدرات 55%"</f>
        <v>هيدرازين هيدرات 55%</v>
      </c>
      <c r="F2328" s="3" t="str">
        <f>"ليتر"</f>
        <v>ليتر</v>
      </c>
      <c r="G2328" s="3">
        <v>26000</v>
      </c>
      <c r="H2328" s="5">
        <v>17605000000</v>
      </c>
    </row>
  </sheetData>
  <sortState ref="A2:I2350">
    <sortCondition ref="H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Moradi, Naser</dc:creator>
  <cp:lastModifiedBy>Mahmoudi, Rasoul</cp:lastModifiedBy>
  <dcterms:created xsi:type="dcterms:W3CDTF">2020-02-15T06:32:11Z</dcterms:created>
  <dcterms:modified xsi:type="dcterms:W3CDTF">2020-02-15T11:03:12Z</dcterms:modified>
</cp:coreProperties>
</file>