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zlollahi_ab\Desktop\آب شیرین کن (4)\"/>
    </mc:Choice>
  </mc:AlternateContent>
  <bookViews>
    <workbookView xWindow="120" yWindow="75" windowWidth="20115" windowHeight="7995" tabRatio="944" firstSheet="6" activeTab="13"/>
  </bookViews>
  <sheets>
    <sheet name="اطلاعات ورودی" sheetId="9" r:id="rId1"/>
    <sheet name="هزینه مواد مصرفی و قطعات یدکی" sheetId="10" r:id="rId2"/>
    <sheet name="هزینه مواد شیمیایی و شستشو" sheetId="11" r:id="rId3"/>
    <sheet name="تعرفه برق" sheetId="13" r:id="rId4"/>
    <sheet name="هزینه نیروی انسانی" sheetId="1" r:id="rId5"/>
    <sheet name="استهلاک سرمایه" sheetId="2" r:id="rId6"/>
    <sheet name="تسهیلات بانکی" sheetId="3" r:id="rId7"/>
    <sheet name="ضریب تعدیل سالیانه" sheetId="4" r:id="rId8"/>
    <sheet name="هزینه سرمایه گذاری ثابت" sheetId="5" r:id="rId9"/>
    <sheet name="Sheet2" sheetId="15" r:id="rId10"/>
    <sheet name="هزینه متغیر در سال اول" sheetId="6" r:id="rId11"/>
    <sheet name="آنالیز قیمت هر متر مکعب" sheetId="7" r:id="rId12"/>
    <sheet name="هزینه متغیر 15 سال" sheetId="12" r:id="rId13"/>
    <sheet name="محاسبه درآمد و سود" sheetId="8" r:id="rId14"/>
    <sheet name="Sheet3" sheetId="16" r:id="rId15"/>
  </sheets>
  <calcPr calcId="152511"/>
</workbook>
</file>

<file path=xl/calcChain.xml><?xml version="1.0" encoding="utf-8"?>
<calcChain xmlns="http://schemas.openxmlformats.org/spreadsheetml/2006/main">
  <c r="E17" i="1" l="1"/>
  <c r="I15" i="6"/>
  <c r="I15" i="7" s="1"/>
  <c r="F15" i="12" l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F13" i="12"/>
  <c r="F12" i="12"/>
  <c r="F8" i="12"/>
  <c r="I11" i="6"/>
  <c r="H15" i="5"/>
  <c r="H5" i="5"/>
  <c r="O6" i="3"/>
  <c r="O9" i="3" s="1"/>
  <c r="O3" i="3"/>
  <c r="F3" i="2"/>
  <c r="F4" i="2" s="1"/>
  <c r="K5" i="2" s="1"/>
  <c r="G4" i="1"/>
  <c r="G5" i="1"/>
  <c r="G6" i="1"/>
  <c r="G7" i="1"/>
  <c r="G8" i="1"/>
  <c r="G9" i="1"/>
  <c r="G10" i="1"/>
  <c r="G3" i="1"/>
  <c r="F4" i="1"/>
  <c r="F5" i="1"/>
  <c r="F6" i="1"/>
  <c r="F7" i="1"/>
  <c r="F8" i="1"/>
  <c r="F9" i="1"/>
  <c r="F10" i="1"/>
  <c r="F3" i="1"/>
  <c r="E4" i="1"/>
  <c r="E5" i="1"/>
  <c r="E6" i="1"/>
  <c r="E7" i="1"/>
  <c r="E8" i="1"/>
  <c r="E9" i="1"/>
  <c r="E10" i="1"/>
  <c r="E3" i="1"/>
  <c r="F10" i="13"/>
  <c r="F16" i="13"/>
  <c r="I6" i="6" s="1"/>
  <c r="I10" i="11"/>
  <c r="I9" i="11"/>
  <c r="I8" i="11"/>
  <c r="I7" i="11"/>
  <c r="I5" i="11"/>
  <c r="I23" i="11"/>
  <c r="I22" i="11"/>
  <c r="I21" i="11"/>
  <c r="I20" i="11"/>
  <c r="I19" i="11"/>
  <c r="I18" i="11"/>
  <c r="K29" i="9"/>
  <c r="K30" i="9"/>
  <c r="K31" i="9"/>
  <c r="K32" i="9"/>
  <c r="K33" i="9"/>
  <c r="K34" i="9"/>
  <c r="K35" i="9"/>
  <c r="K36" i="9"/>
  <c r="K37" i="9"/>
  <c r="K28" i="9"/>
  <c r="H13" i="3" l="1"/>
  <c r="H17" i="5" s="1"/>
  <c r="M4" i="8"/>
  <c r="F12" i="13"/>
  <c r="C4" i="8" l="1"/>
  <c r="M5" i="8"/>
  <c r="H12" i="5"/>
  <c r="H11" i="5"/>
  <c r="H10" i="5"/>
  <c r="H7" i="5"/>
  <c r="H6" i="5"/>
  <c r="H3" i="5"/>
  <c r="M6" i="8" l="1"/>
  <c r="C5" i="8"/>
  <c r="J7" i="10"/>
  <c r="M7" i="8" l="1"/>
  <c r="C6" i="8"/>
  <c r="H5" i="10"/>
  <c r="H4" i="10"/>
  <c r="H6" i="10"/>
  <c r="F5" i="10"/>
  <c r="F4" i="10"/>
  <c r="G12" i="12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G13" i="12"/>
  <c r="H13" i="12" s="1"/>
  <c r="I13" i="12" s="1"/>
  <c r="J13" i="12" s="1"/>
  <c r="K13" i="12" s="1"/>
  <c r="L13" i="12" s="1"/>
  <c r="M13" i="12" s="1"/>
  <c r="N13" i="12" s="1"/>
  <c r="O13" i="12" s="1"/>
  <c r="P13" i="12" s="1"/>
  <c r="Q13" i="12" s="1"/>
  <c r="R13" i="12" s="1"/>
  <c r="S13" i="12" s="1"/>
  <c r="T13" i="12" s="1"/>
  <c r="G8" i="12"/>
  <c r="H8" i="12" s="1"/>
  <c r="I8" i="12" s="1"/>
  <c r="J8" i="12" s="1"/>
  <c r="K8" i="12" s="1"/>
  <c r="L8" i="12" s="1"/>
  <c r="M8" i="12" s="1"/>
  <c r="N8" i="12" s="1"/>
  <c r="O8" i="12" s="1"/>
  <c r="P8" i="12" s="1"/>
  <c r="Q8" i="12" s="1"/>
  <c r="R8" i="12" s="1"/>
  <c r="S8" i="12" s="1"/>
  <c r="T8" i="12" s="1"/>
  <c r="F17" i="12"/>
  <c r="G17" i="12" s="1"/>
  <c r="H17" i="12" s="1"/>
  <c r="I17" i="12" s="1"/>
  <c r="J17" i="12" s="1"/>
  <c r="K17" i="12" s="1"/>
  <c r="L17" i="12" s="1"/>
  <c r="M17" i="12" s="1"/>
  <c r="N17" i="12" s="1"/>
  <c r="O17" i="12" s="1"/>
  <c r="P17" i="12" s="1"/>
  <c r="Q17" i="12" s="1"/>
  <c r="R17" i="12" s="1"/>
  <c r="S17" i="12" s="1"/>
  <c r="T17" i="12" s="1"/>
  <c r="I17" i="7"/>
  <c r="I12" i="7"/>
  <c r="I11" i="7"/>
  <c r="I6" i="7"/>
  <c r="K6" i="2"/>
  <c r="G16" i="12" s="1"/>
  <c r="K7" i="2"/>
  <c r="H16" i="12" s="1"/>
  <c r="K8" i="2"/>
  <c r="I16" i="12" s="1"/>
  <c r="K9" i="2"/>
  <c r="J16" i="12" s="1"/>
  <c r="K10" i="2"/>
  <c r="K16" i="12" s="1"/>
  <c r="K11" i="2"/>
  <c r="L16" i="12" s="1"/>
  <c r="K12" i="2"/>
  <c r="M16" i="12" s="1"/>
  <c r="K13" i="2"/>
  <c r="N16" i="12" s="1"/>
  <c r="K14" i="2"/>
  <c r="O16" i="12" s="1"/>
  <c r="K15" i="2"/>
  <c r="P16" i="12" s="1"/>
  <c r="K16" i="2"/>
  <c r="Q16" i="12" s="1"/>
  <c r="K17" i="2"/>
  <c r="R16" i="12" s="1"/>
  <c r="K18" i="2"/>
  <c r="S16" i="12" s="1"/>
  <c r="K19" i="2"/>
  <c r="T16" i="12" s="1"/>
  <c r="I16" i="6"/>
  <c r="I10" i="6"/>
  <c r="I10" i="7" s="1"/>
  <c r="J10" i="10"/>
  <c r="M8" i="8" l="1"/>
  <c r="C7" i="8"/>
  <c r="L5" i="2"/>
  <c r="L6" i="2" s="1"/>
  <c r="L7" i="2" s="1"/>
  <c r="L8" i="2" s="1"/>
  <c r="L9" i="2" s="1"/>
  <c r="L10" i="2" s="1"/>
  <c r="F16" i="12"/>
  <c r="M19" i="11"/>
  <c r="M20" i="11"/>
  <c r="M21" i="11"/>
  <c r="M22" i="11"/>
  <c r="M23" i="11"/>
  <c r="M18" i="11"/>
  <c r="M8" i="11"/>
  <c r="M9" i="11"/>
  <c r="M10" i="11"/>
  <c r="M7" i="11"/>
  <c r="M9" i="8" l="1"/>
  <c r="C8" i="8"/>
  <c r="L11" i="2"/>
  <c r="L12" i="2" s="1"/>
  <c r="L13" i="2" s="1"/>
  <c r="L14" i="2" s="1"/>
  <c r="L15" i="2" s="1"/>
  <c r="L16" i="2" s="1"/>
  <c r="L17" i="2" s="1"/>
  <c r="L18" i="2" s="1"/>
  <c r="L19" i="2" s="1"/>
  <c r="M24" i="11"/>
  <c r="M12" i="11"/>
  <c r="M10" i="8" l="1"/>
  <c r="C9" i="8"/>
  <c r="I26" i="11"/>
  <c r="I28" i="11" s="1"/>
  <c r="J6" i="10"/>
  <c r="J5" i="10"/>
  <c r="J4" i="10"/>
  <c r="K38" i="9"/>
  <c r="G38" i="9"/>
  <c r="H13" i="5"/>
  <c r="K6" i="3"/>
  <c r="M11" i="8" l="1"/>
  <c r="C10" i="8"/>
  <c r="I9" i="6"/>
  <c r="J8" i="10"/>
  <c r="F11" i="12" s="1"/>
  <c r="I8" i="6"/>
  <c r="I8" i="7" s="1"/>
  <c r="F10" i="12"/>
  <c r="G10" i="12" s="1"/>
  <c r="H10" i="12" s="1"/>
  <c r="I10" i="12" s="1"/>
  <c r="J10" i="12" s="1"/>
  <c r="K10" i="12" s="1"/>
  <c r="L10" i="12" s="1"/>
  <c r="M10" i="12" s="1"/>
  <c r="N10" i="12" s="1"/>
  <c r="O10" i="12" s="1"/>
  <c r="P10" i="12" s="1"/>
  <c r="Q10" i="12" s="1"/>
  <c r="R10" i="12" s="1"/>
  <c r="S10" i="12" s="1"/>
  <c r="T10" i="12" s="1"/>
  <c r="I29" i="11"/>
  <c r="I5" i="5"/>
  <c r="I8" i="5"/>
  <c r="I12" i="5"/>
  <c r="I9" i="5"/>
  <c r="I3" i="5"/>
  <c r="I11" i="5"/>
  <c r="H18" i="5"/>
  <c r="H19" i="5" s="1"/>
  <c r="I6" i="5"/>
  <c r="I10" i="5"/>
  <c r="I4" i="5"/>
  <c r="I7" i="5"/>
  <c r="J9" i="10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G11" i="1"/>
  <c r="E14" i="1" s="1"/>
  <c r="E19" i="1" s="1"/>
  <c r="F11" i="1"/>
  <c r="C11" i="1"/>
  <c r="D12" i="1" s="1"/>
  <c r="M12" i="8" l="1"/>
  <c r="C11" i="8"/>
  <c r="I13" i="5"/>
  <c r="F9" i="12"/>
  <c r="I7" i="6"/>
  <c r="I7" i="7" s="1"/>
  <c r="E20" i="1"/>
  <c r="G11" i="12"/>
  <c r="I9" i="7"/>
  <c r="M13" i="8" l="1"/>
  <c r="C12" i="8"/>
  <c r="G9" i="12"/>
  <c r="H9" i="12" s="1"/>
  <c r="I9" i="12" s="1"/>
  <c r="J9" i="12" s="1"/>
  <c r="K9" i="12" s="1"/>
  <c r="F20" i="12"/>
  <c r="E4" i="8" s="1"/>
  <c r="L9" i="12"/>
  <c r="M9" i="12" s="1"/>
  <c r="N9" i="12" s="1"/>
  <c r="O9" i="12" s="1"/>
  <c r="P9" i="12" s="1"/>
  <c r="Q9" i="12" s="1"/>
  <c r="R9" i="12" s="1"/>
  <c r="S9" i="12" s="1"/>
  <c r="T9" i="12" s="1"/>
  <c r="H11" i="12"/>
  <c r="G20" i="12"/>
  <c r="E5" i="8" s="1"/>
  <c r="I20" i="7"/>
  <c r="H16" i="5"/>
  <c r="H16" i="3"/>
  <c r="I18" i="6" s="1"/>
  <c r="H15" i="3"/>
  <c r="M14" i="8" l="1"/>
  <c r="C13" i="8"/>
  <c r="F21" i="12"/>
  <c r="G4" i="8"/>
  <c r="G21" i="12"/>
  <c r="J8" i="7"/>
  <c r="J12" i="7"/>
  <c r="J16" i="7"/>
  <c r="J6" i="7"/>
  <c r="J13" i="7"/>
  <c r="J3" i="7"/>
  <c r="J7" i="7"/>
  <c r="J17" i="7"/>
  <c r="J11" i="7"/>
  <c r="J10" i="7"/>
  <c r="J14" i="7"/>
  <c r="J4" i="7"/>
  <c r="J15" i="7"/>
  <c r="J5" i="7"/>
  <c r="J9" i="7"/>
  <c r="I11" i="12"/>
  <c r="H20" i="12"/>
  <c r="E6" i="8" s="1"/>
  <c r="H14" i="3"/>
  <c r="H17" i="3" s="1"/>
  <c r="I19" i="6" s="1"/>
  <c r="H18" i="3"/>
  <c r="M15" i="8" l="1"/>
  <c r="C14" i="8"/>
  <c r="G5" i="8"/>
  <c r="H21" i="12"/>
  <c r="I20" i="6"/>
  <c r="J11" i="12"/>
  <c r="I20" i="12"/>
  <c r="J20" i="7"/>
  <c r="M16" i="8" l="1"/>
  <c r="C15" i="8"/>
  <c r="G6" i="8"/>
  <c r="I21" i="12"/>
  <c r="E7" i="8"/>
  <c r="J9" i="6"/>
  <c r="J13" i="6"/>
  <c r="J18" i="6"/>
  <c r="J8" i="6"/>
  <c r="J12" i="6"/>
  <c r="J7" i="6"/>
  <c r="J16" i="6"/>
  <c r="J3" i="6"/>
  <c r="J17" i="6"/>
  <c r="J4" i="6"/>
  <c r="J14" i="6"/>
  <c r="J11" i="6"/>
  <c r="J6" i="6"/>
  <c r="J15" i="6"/>
  <c r="J10" i="6"/>
  <c r="J5" i="6"/>
  <c r="J19" i="6"/>
  <c r="K11" i="12"/>
  <c r="L11" i="12" s="1"/>
  <c r="J20" i="12"/>
  <c r="E8" i="8" s="1"/>
  <c r="M17" i="8" l="1"/>
  <c r="C16" i="8"/>
  <c r="G7" i="8"/>
  <c r="J21" i="12"/>
  <c r="J20" i="6"/>
  <c r="K20" i="12"/>
  <c r="E9" i="8" s="1"/>
  <c r="M18" i="8" l="1"/>
  <c r="C18" i="8" s="1"/>
  <c r="C17" i="8"/>
  <c r="K21" i="12"/>
  <c r="G8" i="8"/>
  <c r="M11" i="12"/>
  <c r="L20" i="12"/>
  <c r="E10" i="8" s="1"/>
  <c r="G9" i="8" l="1"/>
  <c r="L21" i="12"/>
  <c r="N11" i="12"/>
  <c r="M20" i="12"/>
  <c r="E11" i="8" s="1"/>
  <c r="G10" i="8" l="1"/>
  <c r="M21" i="12"/>
  <c r="O11" i="12"/>
  <c r="N20" i="12"/>
  <c r="E12" i="8" s="1"/>
  <c r="G11" i="8" l="1"/>
  <c r="N21" i="12"/>
  <c r="P11" i="12"/>
  <c r="O20" i="12"/>
  <c r="E13" i="8" s="1"/>
  <c r="G12" i="8" l="1"/>
  <c r="O21" i="12"/>
  <c r="Q11" i="12"/>
  <c r="P20" i="12"/>
  <c r="E14" i="8" s="1"/>
  <c r="P21" i="12" l="1"/>
  <c r="G13" i="8"/>
  <c r="R11" i="12"/>
  <c r="Q20" i="12"/>
  <c r="E15" i="8" s="1"/>
  <c r="Q21" i="12" l="1"/>
  <c r="G14" i="8"/>
  <c r="S11" i="12"/>
  <c r="R20" i="12"/>
  <c r="E16" i="8" s="1"/>
  <c r="R21" i="12" l="1"/>
  <c r="G15" i="8"/>
  <c r="T11" i="12"/>
  <c r="T20" i="12" s="1"/>
  <c r="E18" i="8" s="1"/>
  <c r="S20" i="12"/>
  <c r="E17" i="8" s="1"/>
  <c r="T21" i="12" l="1"/>
  <c r="G16" i="8"/>
  <c r="S21" i="12"/>
  <c r="G18" i="8" l="1"/>
  <c r="G17" i="8"/>
  <c r="K9" i="8"/>
  <c r="K7" i="8"/>
  <c r="K13" i="8"/>
  <c r="K16" i="8"/>
  <c r="K8" i="8"/>
  <c r="K5" i="8"/>
  <c r="K11" i="8"/>
  <c r="K6" i="8"/>
  <c r="K18" i="8"/>
  <c r="K17" i="8"/>
  <c r="K12" i="8"/>
  <c r="K10" i="8"/>
  <c r="K14" i="8"/>
  <c r="K15" i="8"/>
</calcChain>
</file>

<file path=xl/sharedStrings.xml><?xml version="1.0" encoding="utf-8"?>
<sst xmlns="http://schemas.openxmlformats.org/spreadsheetml/2006/main" count="573" uniqueCount="319">
  <si>
    <t xml:space="preserve">سرپرست سایت </t>
  </si>
  <si>
    <t>عنوان</t>
  </si>
  <si>
    <t>تعداد نفرات</t>
  </si>
  <si>
    <t>حقوق و مزایا در ماه (ریال)</t>
  </si>
  <si>
    <t>حقوق سالانه با عیدی و سنوات</t>
  </si>
  <si>
    <t>بیمه و مالیات</t>
  </si>
  <si>
    <t>جمع حقوق سالانه با کسورات</t>
  </si>
  <si>
    <t>مسئول مالی و اداری</t>
  </si>
  <si>
    <t>تکنسین</t>
  </si>
  <si>
    <t>پشتیبانی مهندسی</t>
  </si>
  <si>
    <t>نگهبانی</t>
  </si>
  <si>
    <t xml:space="preserve">تکنسین آزمایشگاه </t>
  </si>
  <si>
    <t>انباردار</t>
  </si>
  <si>
    <t>کارگر</t>
  </si>
  <si>
    <t>ردیف</t>
  </si>
  <si>
    <t>جمع کل</t>
  </si>
  <si>
    <t>متوسط حقوق پرداختی</t>
  </si>
  <si>
    <t>هزینه های سالیانه نیروی انسانی</t>
  </si>
  <si>
    <t>جمع حقوق پرسنلی در سال</t>
  </si>
  <si>
    <t>هزینه ایاب و ذهاب با هواپیما</t>
  </si>
  <si>
    <t>هزینه ایاب و ذهاب در منطقه</t>
  </si>
  <si>
    <t>هزینه اسکان</t>
  </si>
  <si>
    <t>هزینه غذا</t>
  </si>
  <si>
    <t>جمع هزینه های سالیانه نیروی انسانی</t>
  </si>
  <si>
    <t>هزینه نیروی انسانی به ازای هر متر مکعب آب تولیدی</t>
  </si>
  <si>
    <t>قیمت بلیط رفت و برگشت هواپیما</t>
  </si>
  <si>
    <t>سرمایه استهلاک پذیر :</t>
  </si>
  <si>
    <t>عمر مفید :</t>
  </si>
  <si>
    <t xml:space="preserve">روش محاسبه </t>
  </si>
  <si>
    <t>خط مستقیم</t>
  </si>
  <si>
    <t>جمع ارقام سنوات</t>
  </si>
  <si>
    <t>موجودی نزولی</t>
  </si>
  <si>
    <t>در انتهای دوره</t>
  </si>
  <si>
    <t>استهلاک</t>
  </si>
  <si>
    <t>مجموع</t>
  </si>
  <si>
    <t>ازش دفتری</t>
  </si>
  <si>
    <t>محاسبه استهلاک سرمایه</t>
  </si>
  <si>
    <t>نرخ بهره (IR)</t>
  </si>
  <si>
    <t>درصد</t>
  </si>
  <si>
    <t>دوره پازپرداخت وام</t>
  </si>
  <si>
    <t>تعاداد اقساط</t>
  </si>
  <si>
    <t>ساله</t>
  </si>
  <si>
    <t>قسط شش ماهه</t>
  </si>
  <si>
    <t>روش محاسبه سود تسهیلات</t>
  </si>
  <si>
    <t>مبلغ تسهیلات</t>
  </si>
  <si>
    <t>سود کل</t>
  </si>
  <si>
    <t>مبلغ هر قسط</t>
  </si>
  <si>
    <t>کل مبلغی که بازپرداخت می شود</t>
  </si>
  <si>
    <t>با فرمول جدید</t>
  </si>
  <si>
    <t>هزینه سرمایه گذاری ثابت</t>
  </si>
  <si>
    <t xml:space="preserve">    مبلغ قست بابت اصل</t>
  </si>
  <si>
    <t xml:space="preserve">    مبلغ قسط بابت سود</t>
  </si>
  <si>
    <t>زمان هر قسط</t>
  </si>
  <si>
    <t>ماهه</t>
  </si>
  <si>
    <t>بازپرداخت</t>
  </si>
  <si>
    <t>با فرمول قدیم</t>
  </si>
  <si>
    <t>تسهیلات بانکی</t>
  </si>
  <si>
    <t>محاسبه ضریب تعدیل سالیانه قیمت فروش آب</t>
  </si>
  <si>
    <t>محاسبه بر اساس روش تعدیل قراردادهای BOO و BOT</t>
  </si>
  <si>
    <t>α</t>
  </si>
  <si>
    <t>CPI1</t>
  </si>
  <si>
    <t>CPI2</t>
  </si>
  <si>
    <t>R1</t>
  </si>
  <si>
    <t>R2</t>
  </si>
  <si>
    <t>AF</t>
  </si>
  <si>
    <t>محاسبه بر اساس نرخ تورم سالیه</t>
  </si>
  <si>
    <t>متوسط نرخ تورم سالیانه در دوره بهره برداری</t>
  </si>
  <si>
    <t>ضریب تعدیل سالیانه قیمت فروش =</t>
  </si>
  <si>
    <t>سرمایه ثابت احداث تجهیزات و تاسیسات آب شیرین کن</t>
  </si>
  <si>
    <t>خرید زمین</t>
  </si>
  <si>
    <t>تاسیسات دفع شورابه</t>
  </si>
  <si>
    <t xml:space="preserve">سرمایه گذاری اولیه در سناریوی تامین برق با دیزل ژنراتور و تاسیسات جانبی </t>
  </si>
  <si>
    <t>هزینه انشعاب برق از شبکه سراسری</t>
  </si>
  <si>
    <t xml:space="preserve">مخازن ذخیره سازی آب تولیدی </t>
  </si>
  <si>
    <t>سایر هزینه ها (پیش بینی نشده )</t>
  </si>
  <si>
    <t>مبلغ (ریال)</t>
  </si>
  <si>
    <t>سرمایه گذاری اولیه در سناریوی تامین برق با نیروگاه گازی</t>
  </si>
  <si>
    <t xml:space="preserve">جمع کل سرمایه های مود نیاز </t>
  </si>
  <si>
    <t>سهم (%)</t>
  </si>
  <si>
    <t>شرح</t>
  </si>
  <si>
    <t>مبلغ تامین شده از محل تسهیلات بانکی</t>
  </si>
  <si>
    <t xml:space="preserve">سرمایه ثابت نقدی مورد نیاز </t>
  </si>
  <si>
    <t>ریال</t>
  </si>
  <si>
    <t xml:space="preserve">ریال </t>
  </si>
  <si>
    <t xml:space="preserve">قیمت سرمایه گذاری واحد به ازای ظرفیت متر مکعب آب تولیدی در روز </t>
  </si>
  <si>
    <t>$</t>
  </si>
  <si>
    <t xml:space="preserve">سرمایه در گردش: هزینه های متغیر (جاری) سالیانه در سال اول </t>
  </si>
  <si>
    <t>خرید آب خام</t>
  </si>
  <si>
    <t>برق</t>
  </si>
  <si>
    <t>هزینه های جاری نیروگاه گازی</t>
  </si>
  <si>
    <t>هزینه های جاری دیزل ژنراتور</t>
  </si>
  <si>
    <t>هزینه های خرید برق از شبکه سراسری</t>
  </si>
  <si>
    <t>نیروی انسانی</t>
  </si>
  <si>
    <t>مواد شیمیایی</t>
  </si>
  <si>
    <t>اقلام مصرفی (ممبران و فیلتر کارتریج )</t>
  </si>
  <si>
    <t>قطعات یدکی</t>
  </si>
  <si>
    <t>تعمیرات و نگهداری</t>
  </si>
  <si>
    <t>آزمایشگاه و کنترل کیفی محصول</t>
  </si>
  <si>
    <t>سوخت (گازوییل)</t>
  </si>
  <si>
    <t>سوخت (گاز)</t>
  </si>
  <si>
    <t>اجاره بهای زمین</t>
  </si>
  <si>
    <t>استهلاک سرمایه</t>
  </si>
  <si>
    <t>سایر هزینه ها (مجوزها، دفتری، پیش بینی نشده و ...)</t>
  </si>
  <si>
    <t>اقساط وام</t>
  </si>
  <si>
    <t>بابت اصل وام</t>
  </si>
  <si>
    <t>بابت سود وام</t>
  </si>
  <si>
    <t>آنالیز قیمت هر متر مکعب آب تولیدی در سال اول</t>
  </si>
  <si>
    <t>سوخت (گاز یا گازوییل)</t>
  </si>
  <si>
    <t>سود وام</t>
  </si>
  <si>
    <t>-</t>
  </si>
  <si>
    <t>تاریخ تکمیل گزارش</t>
  </si>
  <si>
    <t>محل احداث واحد</t>
  </si>
  <si>
    <t>بوشهر</t>
  </si>
  <si>
    <t>نرخ ارز دلار حواله در تاریخ گزارش</t>
  </si>
  <si>
    <t>ظرفیت واحد</t>
  </si>
  <si>
    <t>ریکاوری واحد SWRO</t>
  </si>
  <si>
    <t>ریکاوری واحد BWRO (در صورت وجود)</t>
  </si>
  <si>
    <t>چند درصد از ظرفیت واحد با پاس دوم (BWR) تولید می شود؟</t>
  </si>
  <si>
    <t>دوره استهلاک سرمایه</t>
  </si>
  <si>
    <t>مصرف برق به ازای هر متر مکعب آب تولیدی</t>
  </si>
  <si>
    <t>نرخ خرید گازوئیل به ازای هر لیتر</t>
  </si>
  <si>
    <t>نرخ خرید گاز به ازای هر لیتر</t>
  </si>
  <si>
    <t>قیمت خرید آب خام ورودی</t>
  </si>
  <si>
    <t>قیمت پایه فروش هر متر مکعب آب تولیدی</t>
  </si>
  <si>
    <t>قیمت زمین در محل احداث واحد صنعتی</t>
  </si>
  <si>
    <t>اجاره ماهیانه در محل احداث واحد صنعتی</t>
  </si>
  <si>
    <t>اجاره ماهیانه محل اقامت و اسکان پرسنل در محل</t>
  </si>
  <si>
    <t>هزینه غذای روزانه برای یک نفر</t>
  </si>
  <si>
    <t>روز کاری در سال</t>
  </si>
  <si>
    <t>نرخ تورم/تعدیل سالیانه</t>
  </si>
  <si>
    <t>نوع آبگیر</t>
  </si>
  <si>
    <t>چاه</t>
  </si>
  <si>
    <t>آبگیر مستقیم</t>
  </si>
  <si>
    <t xml:space="preserve">عمق چاه </t>
  </si>
  <si>
    <t>فاصله تا ساحل</t>
  </si>
  <si>
    <t>متر مکعب آب شیرین تولیدی در روز</t>
  </si>
  <si>
    <t>lmh</t>
  </si>
  <si>
    <t>سال</t>
  </si>
  <si>
    <t>کیلووات ساعت</t>
  </si>
  <si>
    <t>ریال به ازای هر متر مربع</t>
  </si>
  <si>
    <t>ریال (محاسبه بر اساس ضرایب سود صفحه درآمد)</t>
  </si>
  <si>
    <t>روز</t>
  </si>
  <si>
    <t xml:space="preserve">متر </t>
  </si>
  <si>
    <t>متر</t>
  </si>
  <si>
    <t>اطلاعات ورودی</t>
  </si>
  <si>
    <t>فرضیات در نظر گرفته شده</t>
  </si>
  <si>
    <t>اطلاعات ورودی برای برآورد سرمایه ثابت</t>
  </si>
  <si>
    <t>سرمایه مود نیاز برای تجهیزات SWRO به صورت EPC</t>
  </si>
  <si>
    <t>سرمایه مود نیاز برای تجهیزات BWRO به صورت EPC</t>
  </si>
  <si>
    <t>سرمایه مود نیاز برای تجهیزات پیش تصفیه به صورت EPC</t>
  </si>
  <si>
    <t>سرمایه مود نیاز برای تجهیزات پس تصفیه به صورت EPC</t>
  </si>
  <si>
    <t>هزینه سوله و ساختمان و تاسیسات و محوطه سازی</t>
  </si>
  <si>
    <t>آبگیر مستقیم و تاسیسات مربوطه (پمپ، اسکرین، کلرزنی)</t>
  </si>
  <si>
    <t>سرمایه تاسیسات دفع شورابه (Outfall) به صورت EPC</t>
  </si>
  <si>
    <t>سایر (هزینه های پیش بینی نشده)</t>
  </si>
  <si>
    <t>فی</t>
  </si>
  <si>
    <t>واحد</t>
  </si>
  <si>
    <t>به ازای متر مکعب ظرفیت آب شیرین کن در روز</t>
  </si>
  <si>
    <t>جمع</t>
  </si>
  <si>
    <t>قیمت هر ممبران SWRO</t>
  </si>
  <si>
    <t>سطح ممبران</t>
  </si>
  <si>
    <t>قیمت هر ممبران BWRO</t>
  </si>
  <si>
    <t>قیمت هر المان فیتر کارتریجی  40 اینچی اسلیم</t>
  </si>
  <si>
    <t>ضریب قطعات یدکی و هزینه های سرویس و نگهداری</t>
  </si>
  <si>
    <t>مصرف گازوئیل توسط دیزل ژنراتور به ازای هر کیلووات برق تولیدی</t>
  </si>
  <si>
    <t>تخمین قیمت نیروگاه گازی به ازای هر کیلووات بق تولیدی</t>
  </si>
  <si>
    <t>مصرف گاز توسط ژنراتور گازسوز به ازای هر کیلو وات برق تولیدی</t>
  </si>
  <si>
    <t>هزینه تعمیر و نگهداری سالیانه نیروگاه</t>
  </si>
  <si>
    <t>دفعات شستشوی شیمیایی (CIP) در سال</t>
  </si>
  <si>
    <t>عمر ممبران</t>
  </si>
  <si>
    <t>هزینه قطعات یدکی در سال</t>
  </si>
  <si>
    <t>هزینه تعمیر و نگهداری سالیانه آب شیرین کن</t>
  </si>
  <si>
    <t>سایر هزینه ها (پیش بینی نشده)</t>
  </si>
  <si>
    <t>تعداد ممبران SWRO برآورد شده</t>
  </si>
  <si>
    <t>تعداد ممبان پاس دوم (BWRO) برآورد شده</t>
  </si>
  <si>
    <t>دلار</t>
  </si>
  <si>
    <t>فوت مربع</t>
  </si>
  <si>
    <t>لیتر</t>
  </si>
  <si>
    <t>مترمکعب</t>
  </si>
  <si>
    <t>بار</t>
  </si>
  <si>
    <t>درصد از ارزش تجهیزات به غیر از ممبران</t>
  </si>
  <si>
    <t>عدد</t>
  </si>
  <si>
    <t>محاسبات هزینه های مربوط به مواد مصرفی و قطعات یدکی</t>
  </si>
  <si>
    <t>تعداد مورد نیاز در سال</t>
  </si>
  <si>
    <t>قیمت واحد (ریال)</t>
  </si>
  <si>
    <t>قیمت کل (ریال)</t>
  </si>
  <si>
    <t>ممبران BWRO</t>
  </si>
  <si>
    <t>ممبران SWRO</t>
  </si>
  <si>
    <t>فیلتر کارتریجی</t>
  </si>
  <si>
    <t xml:space="preserve">جمع هزینه های مواد مصرفی و قطعات یدکی در سال </t>
  </si>
  <si>
    <t>هزینه مواد مصرفی به ازای هر مترمکعب آب تولیدی</t>
  </si>
  <si>
    <t>هزینه قطعات یدکی به ازای هر مترمکعب آب تولیدی</t>
  </si>
  <si>
    <t>محاسبات هزینه های سالیانه مواد شیمیایی</t>
  </si>
  <si>
    <t>هیپوکلریت کلسیم</t>
  </si>
  <si>
    <t>تولید کلر از الکترولیز آب دریا</t>
  </si>
  <si>
    <t>اسید سولفوریک</t>
  </si>
  <si>
    <t>آنتی اسکالانت</t>
  </si>
  <si>
    <t>سدیم بی سولفیت</t>
  </si>
  <si>
    <t>سود ( هیدروکسید سدیم)</t>
  </si>
  <si>
    <t>کربنات کلسیم (سنگ آهنگ ماربل)</t>
  </si>
  <si>
    <t>کلرید کلسیم</t>
  </si>
  <si>
    <t>میزان تزریق (ppm)</t>
  </si>
  <si>
    <t>خلوص (%)</t>
  </si>
  <si>
    <t>میزان مصرف (کیلوگرم در سال)</t>
  </si>
  <si>
    <t>قیمت واحد</t>
  </si>
  <si>
    <t xml:space="preserve">جمع کل هزینه های خرید مواد شیمیایی سالیانه مصرفی </t>
  </si>
  <si>
    <t>محاسبات هزینه های سالیانه مواد شیمیایی شستشو (CIP)</t>
  </si>
  <si>
    <t>اسید سیتریک</t>
  </si>
  <si>
    <t>شوینده (DDS)</t>
  </si>
  <si>
    <t>Na4.EDTA</t>
  </si>
  <si>
    <t>فرمالین</t>
  </si>
  <si>
    <t>جمع کل هزینه های خرید مواد شیمیایی سالیانه شستشو</t>
  </si>
  <si>
    <t>جمع هزینه های خرید مواد شیمیایی سالیانه</t>
  </si>
  <si>
    <t>هزینه حمل مواد شیمیایی به سایت</t>
  </si>
  <si>
    <t>هزینه های متغیر (جاری) سالیانه در طول دوه بهره برداری بدون احتساب اصل و سود وام و هزینه استهلاک سرمایه</t>
  </si>
  <si>
    <t xml:space="preserve">سال </t>
  </si>
  <si>
    <t>برق ( با نیروگاه گازی )</t>
  </si>
  <si>
    <t>برق (با دیزل)</t>
  </si>
  <si>
    <t>برق از شبکه سراسری</t>
  </si>
  <si>
    <t>اقلام مصرفی و قطعات یدکی</t>
  </si>
  <si>
    <t>آزمایشگاه</t>
  </si>
  <si>
    <t>سایر هزینه ها</t>
  </si>
  <si>
    <t>اصل قسط وام</t>
  </si>
  <si>
    <t>سود قسط وام</t>
  </si>
  <si>
    <t xml:space="preserve"> جمع (ریال)</t>
  </si>
  <si>
    <t>محاسبه سود و درآمد</t>
  </si>
  <si>
    <t>کسورات و مالیات (ریال)</t>
  </si>
  <si>
    <r>
      <t>بهای آب (m</t>
    </r>
    <r>
      <rPr>
        <b/>
        <sz val="11"/>
        <color theme="1"/>
        <rFont val="Cambria"/>
        <family val="1"/>
        <scheme val="major"/>
      </rPr>
      <t>3</t>
    </r>
    <r>
      <rPr>
        <b/>
        <sz val="11"/>
        <color theme="1"/>
        <rFont val="B Nazanin"/>
        <charset val="178"/>
      </rPr>
      <t>/ریال)</t>
    </r>
  </si>
  <si>
    <t>بهای هر متر مکعب آب شیرین تولیدی بدون احتساب وام و استهلاک سرمایه</t>
  </si>
  <si>
    <t>جمع کل هزینه های  مواد شیمیایی سایانه</t>
  </si>
  <si>
    <t>هزینه مواد شیمیایی به ازای هر متر مکعب آب تولیدی</t>
  </si>
  <si>
    <t>توجه : مصارف فوق بر اساس تعداد دفعات شستشو در سال برابر 4 برآورده شده است</t>
  </si>
  <si>
    <t>سناریوی اول: خرید برق از شبکه</t>
  </si>
  <si>
    <t>فلاکس طراحی (SWRO)</t>
  </si>
  <si>
    <t>دوره تعویض فیلترهای کارتریجی</t>
  </si>
  <si>
    <t>ورود دستی نرخ خرید برق از شبکه</t>
  </si>
  <si>
    <t>انتخاب از تعرفه های وزارت نیرو</t>
  </si>
  <si>
    <t>دیماند=</t>
  </si>
  <si>
    <t>kw/ریال</t>
  </si>
  <si>
    <t>نرخ برق</t>
  </si>
  <si>
    <t xml:space="preserve">انتخاب تعرفه </t>
  </si>
  <si>
    <t>تعرفه 2: مصارف عمومی، کد ب-2 دسته 2-5: تاسیسات آب شیرین کن</t>
  </si>
  <si>
    <t>هزینه انشعاب برق</t>
  </si>
  <si>
    <t>کیلو وات ساعت</t>
  </si>
  <si>
    <t>متوسط برق مصرفی ماهانه</t>
  </si>
  <si>
    <t>کیلو وات ساعت در ماه</t>
  </si>
  <si>
    <t>ظرفیت مورد نیاز انشعاب نیروگاه</t>
  </si>
  <si>
    <t>کیلووات</t>
  </si>
  <si>
    <t>دیماند یا بهای قدرت</t>
  </si>
  <si>
    <t>نرخ خرید برق از شبکه</t>
  </si>
  <si>
    <t>kwh/ریال</t>
  </si>
  <si>
    <t xml:space="preserve">هزینه برق  سالیانه </t>
  </si>
  <si>
    <t>هزینه برق به ازای هر مترمکعب آب تولیدی</t>
  </si>
  <si>
    <t>محاسبات هزینه های مربوط به برق و سوخت</t>
  </si>
  <si>
    <t>سناریوی دوم: تولید برق با نیروگاه گازی</t>
  </si>
  <si>
    <t>حداقل ظرفیت مورد نیاز  نیروگاه</t>
  </si>
  <si>
    <t>kVA</t>
  </si>
  <si>
    <t>سرمایه گذاری اولیه برای خرید تجهیزات نیروگاه</t>
  </si>
  <si>
    <t>هزینه تعمیرات و نگهداری سایانه نیروگاه</t>
  </si>
  <si>
    <t>مصرف گاز سالیانه</t>
  </si>
  <si>
    <t>سایز (قطر) خط انشعاب گاز طبیعی</t>
  </si>
  <si>
    <t>نرخ خرید گاز</t>
  </si>
  <si>
    <t>هزینه گاز سالیانه</t>
  </si>
  <si>
    <t>هزینه های جاری و گاز مصرفی به ازای هر متر مکعب آب تولیدی</t>
  </si>
  <si>
    <t>اینچ</t>
  </si>
  <si>
    <t>ریال به ازای هر متر مکعب</t>
  </si>
  <si>
    <t>سناریوی سوم : تولید برق با دیزل ژنراتور</t>
  </si>
  <si>
    <t>حداقل ظرفیت مورد نیاز دیزل ژنراتور</t>
  </si>
  <si>
    <t>سرمایه گذاری اولیه برای خرید تجهیزات دیزل ژنراتور</t>
  </si>
  <si>
    <t>سرمایه گذاری مخازن ذخیره سازی و انتقال سوخت</t>
  </si>
  <si>
    <t xml:space="preserve">هزینه تعمیرات و نگهداری سایانه دیزل ژنراتور </t>
  </si>
  <si>
    <t>مصرف گازوییل سالیانه</t>
  </si>
  <si>
    <t>نرخ خرید سوخت گازوییل</t>
  </si>
  <si>
    <t>هزینه سوخت سالیانه</t>
  </si>
  <si>
    <t>هزینه های جاری و سوخت به ازای هر متر مکعب آب تولیدی</t>
  </si>
  <si>
    <t>ریال به ازای هر لیتر</t>
  </si>
  <si>
    <t>تعرفه برق شبکه سراسری مطابق مصوبه دولت در سال 94</t>
  </si>
  <si>
    <t xml:space="preserve">تعرفه 2  </t>
  </si>
  <si>
    <t>مصارف عمومی</t>
  </si>
  <si>
    <t>کد تعرفه :</t>
  </si>
  <si>
    <t>2-ب</t>
  </si>
  <si>
    <t>دسته 5-2</t>
  </si>
  <si>
    <t>تاسیسات آب شیرین کنی</t>
  </si>
  <si>
    <t>با قدرت 30 کیلووات و کمتر</t>
  </si>
  <si>
    <t xml:space="preserve">بهای انرژی (kwh/ریال) </t>
  </si>
  <si>
    <t>ساعات کم باری</t>
  </si>
  <si>
    <t>ساعات اوج بار</t>
  </si>
  <si>
    <t>ساعات میان باری</t>
  </si>
  <si>
    <t>دیماند یا بهای قدرت (kw/ریال)</t>
  </si>
  <si>
    <t xml:space="preserve">با قدرت بیش از 30 کیلووات </t>
  </si>
  <si>
    <t xml:space="preserve">کد تعرفه </t>
  </si>
  <si>
    <t>3-ب</t>
  </si>
  <si>
    <t xml:space="preserve">تعرفه 3  </t>
  </si>
  <si>
    <t>مصارف تولید ( آب و کشاورزی)</t>
  </si>
  <si>
    <t>پمپاژ و تصفیه خانه های آب مشروب شهری و روستایی، تصفیه خانه ها و شبکه های جمع آوری فاضلاب و چاه های آب زهکشی وابسته به سازمان های آب و فاضلاب</t>
  </si>
  <si>
    <t>تعرفه 4</t>
  </si>
  <si>
    <t>مصارف تولید (صنعت و معدن)</t>
  </si>
  <si>
    <t>4-الف</t>
  </si>
  <si>
    <t>دسته 4-3</t>
  </si>
  <si>
    <t>انشعاب های روی فشار متوسط 20،33 و 11 کیلو وات</t>
  </si>
  <si>
    <t>دسته 4-4</t>
  </si>
  <si>
    <t>انشعاب های روی فشار ضعیف</t>
  </si>
  <si>
    <t>کد تعرفه</t>
  </si>
  <si>
    <t>گزینه 1</t>
  </si>
  <si>
    <t>گزینه2</t>
  </si>
  <si>
    <t>گزینه 3</t>
  </si>
  <si>
    <t>تخمین قیمت دیزل ژنراتور به ازای هر کیلووات برق تولیدی</t>
  </si>
  <si>
    <t>21/10/2015</t>
  </si>
  <si>
    <t xml:space="preserve">ارزش اسقاط (0 درصد) : </t>
  </si>
  <si>
    <t>سرمایه مورد نیاز</t>
  </si>
  <si>
    <t>پیش فروش یک سال</t>
  </si>
  <si>
    <t>سوله و ساختمان و تاسیسات جانبی و محوطه سازی</t>
  </si>
  <si>
    <t>یش فروش یک سال</t>
  </si>
  <si>
    <t>مخازن ذخیره سازی آب تولیدی به ظرفیت تولید 8 ساعت</t>
  </si>
  <si>
    <t>هزینه های عملیاتی سالانه بدون وام  و استهلاک</t>
  </si>
  <si>
    <t>در آمد سالیانه (ریال)</t>
  </si>
  <si>
    <t>فروش  سالانه (ریال)</t>
  </si>
  <si>
    <t>در آمد خالص سالانه</t>
  </si>
  <si>
    <t>در صد استفاده از تسهیلات (پس از کسر پیش فروش از کل  هزینه پروژه)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</si>
</sst>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-* #,##0_-;_-* #,##0\-;_-* &quot;-&quot;_-;_-@_-"/>
    <numFmt numFmtId="165" formatCode="_-&quot;ريال&quot;\ * #,##0.00_-;_-&quot;ريال&quot;\ * #,##0.00\-;_-&quot;ريال&quot;\ * &quot;-&quot;??_-;_-@_-"/>
    <numFmt numFmtId="166" formatCode="_-* #,##0.00_-;_-* #,##0.00\-;_-* &quot;-&quot;??_-;_-@_-"/>
    <numFmt numFmtId="167" formatCode="[$$-409]#,##0"/>
    <numFmt numFmtId="168" formatCode="0.0%"/>
    <numFmt numFmtId="169" formatCode="_-* #,##0_-;_-* #,##0\-;_-* &quot;-&quot;??_-;_-@_-"/>
    <numFmt numFmtId="170" formatCode="_-* #,##0.000_-;_-* #,##0.000\-;_-* &quot;-&quot;??_-;_-@_-"/>
    <numFmt numFmtId="171" formatCode="_-&quot;ريال&quot;\ * #,##0_-;_-&quot;ريال&quot;\ * #,##0\-;_-&quot;ريال&quot;\ * &quot;-&quot;??_-;_-@_-"/>
    <numFmt numFmtId="172" formatCode="[$$-409]#,##0.00"/>
    <numFmt numFmtId="173" formatCode="#,##0_-"/>
    <numFmt numFmtId="174" formatCode="0.0"/>
    <numFmt numFmtId="175" formatCode="#,##0.0_-"/>
    <numFmt numFmtId="176" formatCode="#,##0.000"/>
  </numFmts>
  <fonts count="1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1"/>
      <name val="B Nazanin"/>
      <charset val="178"/>
    </font>
    <font>
      <b/>
      <sz val="12"/>
      <color theme="1"/>
      <name val="B Nazanin"/>
      <charset val="178"/>
    </font>
    <font>
      <b/>
      <sz val="16"/>
      <color theme="1"/>
      <name val="B Nazanin"/>
      <charset val="178"/>
    </font>
    <font>
      <b/>
      <sz val="11"/>
      <color theme="1"/>
      <name val="Cambria"/>
      <family val="1"/>
      <scheme val="major"/>
    </font>
    <font>
      <b/>
      <sz val="14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Cambria"/>
      <family val="1"/>
      <scheme val="major"/>
    </font>
    <font>
      <sz val="9"/>
      <color theme="1"/>
      <name val="B Nazanin"/>
      <charset val="178"/>
    </font>
  </fonts>
  <fills count="2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4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n">
        <color theme="0"/>
      </top>
      <bottom style="medium">
        <color indexed="64"/>
      </bottom>
      <diagonal/>
    </border>
    <border>
      <left/>
      <right style="medium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0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0" fillId="0" borderId="1" xfId="0" applyBorder="1"/>
    <xf numFmtId="166" fontId="2" fillId="0" borderId="7" xfId="0" applyNumberFormat="1" applyFont="1" applyBorder="1"/>
    <xf numFmtId="166" fontId="2" fillId="0" borderId="6" xfId="0" applyNumberFormat="1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166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2" fillId="0" borderId="29" xfId="0" applyFont="1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readingOrder="2"/>
    </xf>
    <xf numFmtId="0" fontId="2" fillId="0" borderId="26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0" xfId="0" applyFont="1" applyBorder="1" applyAlignment="1">
      <alignment horizontal="right"/>
    </xf>
    <xf numFmtId="0" fontId="2" fillId="0" borderId="30" xfId="0" applyFont="1" applyBorder="1"/>
    <xf numFmtId="9" fontId="2" fillId="0" borderId="30" xfId="0" applyNumberFormat="1" applyFont="1" applyBorder="1"/>
    <xf numFmtId="0" fontId="2" fillId="0" borderId="12" xfId="0" applyFont="1" applyBorder="1"/>
    <xf numFmtId="0" fontId="2" fillId="0" borderId="0" xfId="0" applyFont="1" applyFill="1" applyBorder="1"/>
    <xf numFmtId="0" fontId="0" fillId="0" borderId="7" xfId="0" applyBorder="1"/>
    <xf numFmtId="0" fontId="0" fillId="0" borderId="5" xfId="0" applyBorder="1"/>
    <xf numFmtId="0" fontId="0" fillId="0" borderId="39" xfId="0" applyBorder="1"/>
    <xf numFmtId="0" fontId="0" fillId="0" borderId="6" xfId="0" applyBorder="1"/>
    <xf numFmtId="0" fontId="0" fillId="0" borderId="40" xfId="0" applyBorder="1"/>
    <xf numFmtId="0" fontId="3" fillId="4" borderId="41" xfId="0" applyFont="1" applyFill="1" applyBorder="1" applyAlignment="1">
      <alignment horizontal="center"/>
    </xf>
    <xf numFmtId="0" fontId="2" fillId="0" borderId="5" xfId="0" applyFont="1" applyBorder="1"/>
    <xf numFmtId="0" fontId="7" fillId="6" borderId="55" xfId="0" applyFont="1" applyFill="1" applyBorder="1"/>
    <xf numFmtId="0" fontId="7" fillId="6" borderId="56" xfId="0" applyFont="1" applyFill="1" applyBorder="1"/>
    <xf numFmtId="0" fontId="7" fillId="6" borderId="57" xfId="0" applyFont="1" applyFill="1" applyBorder="1"/>
    <xf numFmtId="9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62" xfId="0" applyFont="1" applyBorder="1" applyAlignment="1"/>
    <xf numFmtId="0" fontId="6" fillId="0" borderId="63" xfId="0" applyFont="1" applyBorder="1" applyAlignment="1"/>
    <xf numFmtId="0" fontId="0" fillId="0" borderId="63" xfId="0" applyBorder="1"/>
    <xf numFmtId="9" fontId="6" fillId="0" borderId="64" xfId="0" applyNumberFormat="1" applyFont="1" applyBorder="1" applyAlignment="1">
      <alignment horizontal="left"/>
    </xf>
    <xf numFmtId="0" fontId="0" fillId="0" borderId="65" xfId="0" applyBorder="1"/>
    <xf numFmtId="0" fontId="0" fillId="0" borderId="66" xfId="0" applyBorder="1"/>
    <xf numFmtId="0" fontId="3" fillId="5" borderId="0" xfId="0" applyFont="1" applyFill="1" applyBorder="1"/>
    <xf numFmtId="9" fontId="3" fillId="5" borderId="0" xfId="0" applyNumberFormat="1" applyFont="1" applyFill="1" applyBorder="1"/>
    <xf numFmtId="0" fontId="2" fillId="0" borderId="7" xfId="0" applyFont="1" applyBorder="1"/>
    <xf numFmtId="0" fontId="3" fillId="0" borderId="0" xfId="0" applyFont="1" applyBorder="1" applyAlignment="1">
      <alignment readingOrder="2"/>
    </xf>
    <xf numFmtId="0" fontId="2" fillId="0" borderId="0" xfId="0" applyFont="1" applyBorder="1" applyAlignment="1">
      <alignment readingOrder="2"/>
    </xf>
    <xf numFmtId="0" fontId="2" fillId="0" borderId="0" xfId="0" applyFont="1" applyBorder="1" applyAlignment="1">
      <alignment horizontal="right" readingOrder="2"/>
    </xf>
    <xf numFmtId="0" fontId="3" fillId="0" borderId="67" xfId="0" applyFont="1" applyBorder="1" applyAlignment="1">
      <alignment horizontal="right" readingOrder="2"/>
    </xf>
    <xf numFmtId="0" fontId="0" fillId="0" borderId="0" xfId="0" applyAlignment="1">
      <alignment vertical="center"/>
    </xf>
    <xf numFmtId="0" fontId="0" fillId="8" borderId="64" xfId="0" applyFill="1" applyBorder="1" applyAlignment="1">
      <alignment horizontal="center" vertical="center"/>
    </xf>
    <xf numFmtId="164" fontId="2" fillId="8" borderId="62" xfId="0" applyNumberFormat="1" applyFont="1" applyFill="1" applyBorder="1" applyAlignment="1">
      <alignment horizontal="right" vertical="center"/>
    </xf>
    <xf numFmtId="164" fontId="2" fillId="8" borderId="7" xfId="0" applyNumberFormat="1" applyFont="1" applyFill="1" applyBorder="1" applyAlignment="1">
      <alignment horizontal="right" vertical="center"/>
    </xf>
    <xf numFmtId="164" fontId="2" fillId="8" borderId="63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0" fillId="0" borderId="69" xfId="0" applyBorder="1"/>
    <xf numFmtId="0" fontId="2" fillId="0" borderId="1" xfId="0" applyFont="1" applyBorder="1"/>
    <xf numFmtId="9" fontId="2" fillId="0" borderId="68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3" fontId="2" fillId="0" borderId="71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2" fillId="0" borderId="57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9" fontId="2" fillId="0" borderId="6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3" fillId="5" borderId="36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 readingOrder="2"/>
    </xf>
    <xf numFmtId="0" fontId="2" fillId="0" borderId="56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3" fontId="2" fillId="0" borderId="3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4" fontId="2" fillId="0" borderId="48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9" fontId="2" fillId="0" borderId="50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center" vertical="center"/>
    </xf>
    <xf numFmtId="168" fontId="2" fillId="0" borderId="51" xfId="0" applyNumberFormat="1" applyFont="1" applyFill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3" fontId="2" fillId="0" borderId="80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3" fontId="0" fillId="0" borderId="0" xfId="0" applyNumberFormat="1"/>
    <xf numFmtId="0" fontId="2" fillId="0" borderId="101" xfId="0" applyFont="1" applyBorder="1" applyAlignment="1">
      <alignment horizontal="center" vertical="center"/>
    </xf>
    <xf numFmtId="3" fontId="2" fillId="0" borderId="78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2" fillId="0" borderId="45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103" xfId="0" applyFont="1" applyBorder="1" applyAlignment="1">
      <alignment horizontal="right"/>
    </xf>
    <xf numFmtId="0" fontId="2" fillId="0" borderId="103" xfId="0" applyFont="1" applyBorder="1"/>
    <xf numFmtId="0" fontId="2" fillId="0" borderId="104" xfId="0" applyFont="1" applyBorder="1"/>
    <xf numFmtId="0" fontId="2" fillId="0" borderId="43" xfId="0" applyFont="1" applyBorder="1"/>
    <xf numFmtId="0" fontId="2" fillId="0" borderId="11" xfId="0" applyFont="1" applyBorder="1"/>
    <xf numFmtId="0" fontId="2" fillId="0" borderId="105" xfId="0" applyFont="1" applyBorder="1"/>
    <xf numFmtId="9" fontId="2" fillId="0" borderId="10" xfId="1" applyFont="1" applyBorder="1"/>
    <xf numFmtId="0" fontId="3" fillId="0" borderId="36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6" fontId="3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5" fontId="0" fillId="0" borderId="0" xfId="0" applyNumberFormat="1"/>
    <xf numFmtId="3" fontId="2" fillId="0" borderId="0" xfId="0" applyNumberFormat="1" applyFont="1" applyBorder="1" applyAlignment="1">
      <alignment horizontal="center" vertical="center" readingOrder="2"/>
    </xf>
    <xf numFmtId="0" fontId="3" fillId="13" borderId="37" xfId="0" applyFont="1" applyFill="1" applyBorder="1" applyAlignment="1">
      <alignment horizontal="right"/>
    </xf>
    <xf numFmtId="0" fontId="3" fillId="13" borderId="38" xfId="0" applyFont="1" applyFill="1" applyBorder="1" applyAlignment="1">
      <alignment horizontal="right"/>
    </xf>
    <xf numFmtId="0" fontId="2" fillId="13" borderId="38" xfId="0" applyFont="1" applyFill="1" applyBorder="1"/>
    <xf numFmtId="0" fontId="2" fillId="13" borderId="68" xfId="0" applyFont="1" applyFill="1" applyBorder="1"/>
    <xf numFmtId="0" fontId="2" fillId="16" borderId="58" xfId="0" applyFont="1" applyFill="1" applyBorder="1" applyAlignment="1">
      <alignment horizontal="right"/>
    </xf>
    <xf numFmtId="0" fontId="2" fillId="16" borderId="56" xfId="0" applyFont="1" applyFill="1" applyBorder="1" applyAlignment="1">
      <alignment horizontal="right"/>
    </xf>
    <xf numFmtId="0" fontId="2" fillId="16" borderId="56" xfId="0" applyFont="1" applyFill="1" applyBorder="1"/>
    <xf numFmtId="0" fontId="2" fillId="16" borderId="34" xfId="0" applyFont="1" applyFill="1" applyBorder="1"/>
    <xf numFmtId="164" fontId="2" fillId="16" borderId="42" xfId="0" applyNumberFormat="1" applyFont="1" applyFill="1" applyBorder="1" applyAlignment="1">
      <alignment horizontal="center" vertical="center"/>
    </xf>
    <xf numFmtId="0" fontId="2" fillId="11" borderId="58" xfId="0" applyFont="1" applyFill="1" applyBorder="1" applyAlignment="1">
      <alignment horizontal="right"/>
    </xf>
    <xf numFmtId="0" fontId="2" fillId="11" borderId="56" xfId="0" applyFont="1" applyFill="1" applyBorder="1" applyAlignment="1">
      <alignment horizontal="right"/>
    </xf>
    <xf numFmtId="0" fontId="2" fillId="11" borderId="56" xfId="0" applyFont="1" applyFill="1" applyBorder="1"/>
    <xf numFmtId="0" fontId="2" fillId="11" borderId="34" xfId="0" applyFont="1" applyFill="1" applyBorder="1"/>
    <xf numFmtId="164" fontId="2" fillId="11" borderId="43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right"/>
    </xf>
    <xf numFmtId="0" fontId="2" fillId="17" borderId="0" xfId="0" applyFont="1" applyFill="1" applyBorder="1"/>
    <xf numFmtId="0" fontId="2" fillId="17" borderId="5" xfId="0" applyFont="1" applyFill="1" applyBorder="1"/>
    <xf numFmtId="164" fontId="2" fillId="17" borderId="43" xfId="0" applyNumberFormat="1" applyFont="1" applyFill="1" applyBorder="1" applyAlignment="1">
      <alignment horizontal="center" vertical="center"/>
    </xf>
    <xf numFmtId="164" fontId="2" fillId="17" borderId="42" xfId="0" applyNumberFormat="1" applyFont="1" applyFill="1" applyBorder="1" applyAlignment="1">
      <alignment horizontal="center" vertical="center"/>
    </xf>
    <xf numFmtId="0" fontId="2" fillId="17" borderId="106" xfId="0" applyFont="1" applyFill="1" applyBorder="1" applyAlignment="1">
      <alignment horizontal="right"/>
    </xf>
    <xf numFmtId="0" fontId="2" fillId="17" borderId="32" xfId="0" applyFont="1" applyFill="1" applyBorder="1" applyAlignment="1">
      <alignment horizontal="right"/>
    </xf>
    <xf numFmtId="0" fontId="2" fillId="17" borderId="32" xfId="0" applyFont="1" applyFill="1" applyBorder="1"/>
    <xf numFmtId="0" fontId="2" fillId="17" borderId="70" xfId="0" applyFont="1" applyFill="1" applyBorder="1"/>
    <xf numFmtId="0" fontId="2" fillId="15" borderId="39" xfId="0" applyFont="1" applyFill="1" applyBorder="1" applyAlignment="1">
      <alignment horizontal="right"/>
    </xf>
    <xf numFmtId="0" fontId="2" fillId="15" borderId="7" xfId="0" applyFont="1" applyFill="1" applyBorder="1" applyAlignment="1">
      <alignment horizontal="right"/>
    </xf>
    <xf numFmtId="0" fontId="2" fillId="15" borderId="0" xfId="0" applyFont="1" applyFill="1" applyBorder="1"/>
    <xf numFmtId="0" fontId="2" fillId="15" borderId="6" xfId="0" applyFont="1" applyFill="1" applyBorder="1"/>
    <xf numFmtId="164" fontId="2" fillId="15" borderId="44" xfId="0" applyNumberFormat="1" applyFont="1" applyFill="1" applyBorder="1" applyAlignment="1">
      <alignment horizontal="center" vertical="center"/>
    </xf>
    <xf numFmtId="10" fontId="2" fillId="0" borderId="0" xfId="0" applyNumberFormat="1" applyFont="1" applyBorder="1" applyAlignment="1">
      <alignment readingOrder="2"/>
    </xf>
    <xf numFmtId="9" fontId="2" fillId="0" borderId="67" xfId="0" applyNumberFormat="1" applyFont="1" applyBorder="1" applyAlignment="1">
      <alignment horizontal="center" vertical="center" readingOrder="2"/>
    </xf>
    <xf numFmtId="9" fontId="2" fillId="0" borderId="36" xfId="0" applyNumberFormat="1" applyFont="1" applyBorder="1" applyAlignment="1">
      <alignment horizontal="center" vertical="center" readingOrder="2"/>
    </xf>
    <xf numFmtId="3" fontId="2" fillId="0" borderId="0" xfId="0" applyNumberFormat="1" applyFont="1"/>
    <xf numFmtId="0" fontId="2" fillId="0" borderId="40" xfId="0" applyFont="1" applyBorder="1"/>
    <xf numFmtId="0" fontId="2" fillId="0" borderId="0" xfId="0" applyFont="1" applyBorder="1" applyAlignment="1"/>
    <xf numFmtId="0" fontId="0" fillId="0" borderId="0" xfId="0" applyNumberFormat="1"/>
    <xf numFmtId="164" fontId="2" fillId="0" borderId="26" xfId="0" applyNumberFormat="1" applyFont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167" fontId="0" fillId="0" borderId="0" xfId="0" applyNumberFormat="1"/>
    <xf numFmtId="166" fontId="0" fillId="0" borderId="0" xfId="0" applyNumberFormat="1"/>
    <xf numFmtId="0" fontId="2" fillId="7" borderId="85" xfId="0" applyFont="1" applyFill="1" applyBorder="1" applyAlignment="1">
      <alignment horizontal="center" vertical="center"/>
    </xf>
    <xf numFmtId="0" fontId="2" fillId="7" borderId="78" xfId="0" applyFont="1" applyFill="1" applyBorder="1" applyAlignment="1">
      <alignment horizontal="center" vertical="center"/>
    </xf>
    <xf numFmtId="0" fontId="2" fillId="7" borderId="81" xfId="0" applyFont="1" applyFill="1" applyBorder="1" applyAlignment="1">
      <alignment horizontal="center" vertical="center"/>
    </xf>
    <xf numFmtId="169" fontId="2" fillId="0" borderId="14" xfId="0" applyNumberFormat="1" applyFont="1" applyBorder="1" applyAlignment="1">
      <alignment horizontal="center" vertical="center"/>
    </xf>
    <xf numFmtId="169" fontId="2" fillId="0" borderId="15" xfId="0" applyNumberFormat="1" applyFont="1" applyBorder="1" applyAlignment="1">
      <alignment horizontal="center" vertical="center"/>
    </xf>
    <xf numFmtId="169" fontId="2" fillId="0" borderId="13" xfId="0" applyNumberFormat="1" applyFont="1" applyBorder="1" applyAlignment="1">
      <alignment horizontal="center" vertical="center"/>
    </xf>
    <xf numFmtId="169" fontId="2" fillId="0" borderId="5" xfId="0" applyNumberFormat="1" applyFont="1" applyBorder="1" applyAlignment="1">
      <alignment horizontal="center" vertical="center"/>
    </xf>
    <xf numFmtId="169" fontId="3" fillId="0" borderId="15" xfId="0" applyNumberFormat="1" applyFont="1" applyBorder="1" applyAlignment="1">
      <alignment horizontal="center"/>
    </xf>
    <xf numFmtId="169" fontId="3" fillId="0" borderId="11" xfId="0" applyNumberFormat="1" applyFont="1" applyBorder="1" applyAlignment="1">
      <alignment horizontal="center"/>
    </xf>
    <xf numFmtId="169" fontId="0" fillId="0" borderId="0" xfId="0" applyNumberFormat="1"/>
    <xf numFmtId="170" fontId="2" fillId="0" borderId="0" xfId="0" applyNumberFormat="1" applyFont="1" applyBorder="1" applyAlignment="1">
      <alignment horizontal="center" vertical="center"/>
    </xf>
    <xf numFmtId="171" fontId="2" fillId="0" borderId="0" xfId="0" applyNumberFormat="1" applyFont="1"/>
    <xf numFmtId="171" fontId="0" fillId="0" borderId="0" xfId="0" applyNumberFormat="1"/>
    <xf numFmtId="3" fontId="2" fillId="0" borderId="0" xfId="0" applyNumberFormat="1" applyFont="1" applyBorder="1" applyAlignment="1">
      <alignment readingOrder="2"/>
    </xf>
    <xf numFmtId="172" fontId="2" fillId="0" borderId="51" xfId="0" applyNumberFormat="1" applyFont="1" applyBorder="1" applyAlignment="1">
      <alignment horizontal="center" vertical="center"/>
    </xf>
    <xf numFmtId="171" fontId="2" fillId="0" borderId="12" xfId="0" applyNumberFormat="1" applyFont="1" applyBorder="1" applyAlignment="1">
      <alignment horizontal="center" vertical="center"/>
    </xf>
    <xf numFmtId="0" fontId="2" fillId="21" borderId="28" xfId="0" applyFont="1" applyFill="1" applyBorder="1"/>
    <xf numFmtId="0" fontId="2" fillId="0" borderId="14" xfId="0" applyFont="1" applyBorder="1"/>
    <xf numFmtId="0" fontId="2" fillId="0" borderId="9" xfId="0" applyFont="1" applyBorder="1" applyAlignment="1">
      <alignment horizontal="center" vertical="center"/>
    </xf>
    <xf numFmtId="0" fontId="2" fillId="21" borderId="27" xfId="0" applyFont="1" applyFill="1" applyBorder="1"/>
    <xf numFmtId="0" fontId="2" fillId="21" borderId="13" xfId="0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/>
    <xf numFmtId="0" fontId="2" fillId="13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2" borderId="134" xfId="0" applyFont="1" applyFill="1" applyBorder="1"/>
    <xf numFmtId="0" fontId="2" fillId="22" borderId="113" xfId="0" applyFont="1" applyFill="1" applyBorder="1"/>
    <xf numFmtId="0" fontId="2" fillId="22" borderId="129" xfId="0" applyFont="1" applyFill="1" applyBorder="1"/>
    <xf numFmtId="0" fontId="2" fillId="22" borderId="127" xfId="0" applyFont="1" applyFill="1" applyBorder="1"/>
    <xf numFmtId="0" fontId="2" fillId="22" borderId="0" xfId="0" applyFont="1" applyFill="1"/>
    <xf numFmtId="0" fontId="2" fillId="22" borderId="130" xfId="0" applyFont="1" applyFill="1" applyBorder="1"/>
    <xf numFmtId="0" fontId="2" fillId="22" borderId="125" xfId="0" applyFont="1" applyFill="1" applyBorder="1"/>
    <xf numFmtId="0" fontId="2" fillId="22" borderId="135" xfId="0" applyFont="1" applyFill="1" applyBorder="1"/>
    <xf numFmtId="0" fontId="2" fillId="22" borderId="133" xfId="0" applyFont="1" applyFill="1" applyBorder="1"/>
    <xf numFmtId="0" fontId="2" fillId="22" borderId="128" xfId="0" applyFont="1" applyFill="1" applyBorder="1"/>
    <xf numFmtId="0" fontId="2" fillId="22" borderId="131" xfId="0" applyFont="1" applyFill="1" applyBorder="1"/>
    <xf numFmtId="0" fontId="2" fillId="22" borderId="136" xfId="0" applyFont="1" applyFill="1" applyBorder="1"/>
    <xf numFmtId="0" fontId="2" fillId="22" borderId="114" xfId="0" applyFont="1" applyFill="1" applyBorder="1"/>
    <xf numFmtId="0" fontId="2" fillId="22" borderId="15" xfId="0" applyFont="1" applyFill="1" applyBorder="1"/>
    <xf numFmtId="0" fontId="2" fillId="22" borderId="142" xfId="0" applyFont="1" applyFill="1" applyBorder="1" applyAlignment="1"/>
    <xf numFmtId="0" fontId="2" fillId="22" borderId="147" xfId="0" applyFont="1" applyFill="1" applyBorder="1" applyAlignment="1"/>
    <xf numFmtId="0" fontId="2" fillId="22" borderId="14" xfId="0" applyFont="1" applyFill="1" applyBorder="1" applyAlignment="1"/>
    <xf numFmtId="0" fontId="2" fillId="0" borderId="108" xfId="0" applyFont="1" applyBorder="1"/>
    <xf numFmtId="0" fontId="2" fillId="4" borderId="26" xfId="0" applyFont="1" applyFill="1" applyBorder="1" applyAlignment="1">
      <alignment horizontal="center" vertical="center"/>
    </xf>
    <xf numFmtId="0" fontId="2" fillId="4" borderId="10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18" borderId="30" xfId="0" applyFont="1" applyFill="1" applyBorder="1"/>
    <xf numFmtId="0" fontId="2" fillId="0" borderId="122" xfId="0" applyFont="1" applyBorder="1"/>
    <xf numFmtId="0" fontId="2" fillId="0" borderId="123" xfId="0" applyFont="1" applyBorder="1"/>
    <xf numFmtId="0" fontId="2" fillId="0" borderId="148" xfId="0" applyFont="1" applyBorder="1"/>
    <xf numFmtId="173" fontId="2" fillId="0" borderId="0" xfId="0" applyNumberFormat="1" applyFont="1"/>
    <xf numFmtId="0" fontId="3" fillId="8" borderId="62" xfId="0" applyFont="1" applyFill="1" applyBorder="1" applyAlignment="1">
      <alignment horizontal="right" vertical="center"/>
    </xf>
    <xf numFmtId="0" fontId="3" fillId="8" borderId="63" xfId="0" applyFont="1" applyFill="1" applyBorder="1" applyAlignment="1">
      <alignment horizontal="right" vertical="center"/>
    </xf>
    <xf numFmtId="0" fontId="3" fillId="8" borderId="64" xfId="0" applyFont="1" applyFill="1" applyBorder="1" applyAlignment="1">
      <alignment horizontal="right" vertical="center"/>
    </xf>
    <xf numFmtId="43" fontId="2" fillId="0" borderId="0" xfId="0" applyNumberFormat="1" applyFont="1"/>
    <xf numFmtId="43" fontId="0" fillId="0" borderId="0" xfId="0" applyNumberFormat="1"/>
    <xf numFmtId="169" fontId="2" fillId="7" borderId="26" xfId="0" applyNumberFormat="1" applyFont="1" applyFill="1" applyBorder="1" applyAlignment="1">
      <alignment horizontal="center" vertical="center"/>
    </xf>
    <xf numFmtId="1" fontId="2" fillId="0" borderId="50" xfId="0" applyNumberFormat="1" applyFont="1" applyFill="1" applyBorder="1" applyAlignment="1">
      <alignment horizontal="center" vertical="center"/>
    </xf>
    <xf numFmtId="174" fontId="4" fillId="0" borderId="50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1" fontId="2" fillId="0" borderId="51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3" fontId="2" fillId="0" borderId="85" xfId="0" applyNumberFormat="1" applyFont="1" applyFill="1" applyBorder="1" applyAlignment="1">
      <alignment horizontal="center" vertical="center"/>
    </xf>
    <xf numFmtId="3" fontId="2" fillId="0" borderId="79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96" xfId="0" applyFont="1" applyFill="1" applyBorder="1"/>
    <xf numFmtId="0" fontId="2" fillId="0" borderId="95" xfId="0" applyFont="1" applyFill="1" applyBorder="1"/>
    <xf numFmtId="0" fontId="0" fillId="0" borderId="0" xfId="0" applyFill="1"/>
    <xf numFmtId="3" fontId="2" fillId="0" borderId="89" xfId="0" applyNumberFormat="1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/>
    </xf>
    <xf numFmtId="3" fontId="2" fillId="0" borderId="90" xfId="0" applyNumberFormat="1" applyFont="1" applyFill="1" applyBorder="1" applyAlignment="1">
      <alignment horizontal="center" vertical="center"/>
    </xf>
    <xf numFmtId="3" fontId="2" fillId="0" borderId="63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/>
    <xf numFmtId="0" fontId="0" fillId="0" borderId="28" xfId="0" applyFill="1" applyBorder="1"/>
    <xf numFmtId="171" fontId="2" fillId="0" borderId="13" xfId="0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171" fontId="2" fillId="0" borderId="14" xfId="0" applyNumberFormat="1" applyFont="1" applyFill="1" applyBorder="1" applyAlignment="1">
      <alignment horizontal="right"/>
    </xf>
    <xf numFmtId="0" fontId="2" fillId="0" borderId="10" xfId="0" applyFont="1" applyFill="1" applyBorder="1"/>
    <xf numFmtId="171" fontId="2" fillId="0" borderId="15" xfId="0" applyNumberFormat="1" applyFont="1" applyFill="1" applyBorder="1" applyAlignment="1">
      <alignment horizontal="right"/>
    </xf>
    <xf numFmtId="0" fontId="3" fillId="0" borderId="28" xfId="0" applyFont="1" applyFill="1" applyBorder="1" applyAlignment="1"/>
    <xf numFmtId="0" fontId="3" fillId="0" borderId="0" xfId="0" applyFont="1" applyFill="1"/>
    <xf numFmtId="171" fontId="3" fillId="0" borderId="0" xfId="0" applyNumberFormat="1" applyFont="1" applyFill="1"/>
    <xf numFmtId="0" fontId="2" fillId="0" borderId="29" xfId="0" applyFont="1" applyFill="1" applyBorder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171" fontId="3" fillId="0" borderId="15" xfId="0" applyNumberFormat="1" applyFont="1" applyFill="1" applyBorder="1"/>
    <xf numFmtId="0" fontId="2" fillId="0" borderId="28" xfId="0" applyFont="1" applyFill="1" applyBorder="1"/>
    <xf numFmtId="165" fontId="2" fillId="0" borderId="0" xfId="0" applyNumberFormat="1" applyFont="1" applyFill="1"/>
    <xf numFmtId="3" fontId="2" fillId="0" borderId="0" xfId="0" applyNumberFormat="1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3" fontId="2" fillId="0" borderId="62" xfId="0" applyNumberFormat="1" applyFont="1" applyFill="1" applyBorder="1" applyAlignment="1">
      <alignment horizontal="center" vertical="center" readingOrder="2"/>
    </xf>
    <xf numFmtId="164" fontId="0" fillId="0" borderId="0" xfId="0" applyNumberFormat="1"/>
    <xf numFmtId="3" fontId="2" fillId="0" borderId="50" xfId="0" applyNumberFormat="1" applyFont="1" applyFill="1" applyBorder="1" applyAlignment="1">
      <alignment horizontal="center" vertical="center"/>
    </xf>
    <xf numFmtId="3" fontId="2" fillId="0" borderId="57" xfId="0" applyNumberFormat="1" applyFont="1" applyFill="1" applyBorder="1" applyAlignment="1">
      <alignment horizontal="center" vertical="center"/>
    </xf>
    <xf numFmtId="176" fontId="2" fillId="0" borderId="0" xfId="0" applyNumberFormat="1" applyFont="1"/>
    <xf numFmtId="3" fontId="2" fillId="0" borderId="33" xfId="0" applyNumberFormat="1" applyFont="1" applyBorder="1" applyAlignment="1">
      <alignment horizontal="center" vertical="center"/>
    </xf>
    <xf numFmtId="0" fontId="2" fillId="22" borderId="50" xfId="0" applyFont="1" applyFill="1" applyBorder="1" applyAlignment="1">
      <alignment horizontal="center" vertical="center"/>
    </xf>
    <xf numFmtId="167" fontId="2" fillId="22" borderId="49" xfId="0" applyNumberFormat="1" applyFont="1" applyFill="1" applyBorder="1" applyAlignment="1">
      <alignment horizontal="center" vertical="center"/>
    </xf>
    <xf numFmtId="9" fontId="2" fillId="2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22" borderId="39" xfId="0" applyFont="1" applyFill="1" applyBorder="1" applyAlignment="1">
      <alignment horizontal="right" vertical="center"/>
    </xf>
    <xf numFmtId="0" fontId="2" fillId="22" borderId="7" xfId="0" applyFont="1" applyFill="1" applyBorder="1" applyAlignment="1">
      <alignment horizontal="right" vertical="center"/>
    </xf>
    <xf numFmtId="0" fontId="2" fillId="22" borderId="6" xfId="0" applyFont="1" applyFill="1" applyBorder="1" applyAlignment="1">
      <alignment horizontal="right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66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22" borderId="39" xfId="0" applyFont="1" applyFill="1" applyBorder="1" applyAlignment="1">
      <alignment horizontal="center" vertical="center"/>
    </xf>
    <xf numFmtId="0" fontId="9" fillId="22" borderId="7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58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22" borderId="77" xfId="0" applyFont="1" applyFill="1" applyBorder="1" applyAlignment="1">
      <alignment horizontal="center" vertical="center"/>
    </xf>
    <xf numFmtId="0" fontId="2" fillId="22" borderId="54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68" xfId="0" applyFont="1" applyBorder="1" applyAlignment="1">
      <alignment horizontal="right" vertical="center"/>
    </xf>
    <xf numFmtId="0" fontId="2" fillId="22" borderId="58" xfId="0" applyFont="1" applyFill="1" applyBorder="1" applyAlignment="1">
      <alignment horizontal="right" vertical="center"/>
    </xf>
    <xf numFmtId="0" fontId="2" fillId="22" borderId="56" xfId="0" applyFont="1" applyFill="1" applyBorder="1" applyAlignment="1">
      <alignment horizontal="right" vertical="center"/>
    </xf>
    <xf numFmtId="0" fontId="2" fillId="22" borderId="34" xfId="0" applyFont="1" applyFill="1" applyBorder="1" applyAlignment="1">
      <alignment horizontal="right" vertical="center"/>
    </xf>
    <xf numFmtId="3" fontId="2" fillId="9" borderId="63" xfId="0" applyNumberFormat="1" applyFont="1" applyFill="1" applyBorder="1" applyAlignment="1">
      <alignment horizontal="center" vertical="center"/>
    </xf>
    <xf numFmtId="0" fontId="2" fillId="9" borderId="64" xfId="0" applyFont="1" applyFill="1" applyBorder="1" applyAlignment="1">
      <alignment horizontal="center" vertical="center"/>
    </xf>
    <xf numFmtId="3" fontId="2" fillId="5" borderId="63" xfId="0" applyNumberFormat="1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3" fontId="2" fillId="10" borderId="63" xfId="0" applyNumberFormat="1" applyFont="1" applyFill="1" applyBorder="1" applyAlignment="1">
      <alignment horizontal="center" vertical="center"/>
    </xf>
    <xf numFmtId="0" fontId="2" fillId="10" borderId="64" xfId="0" applyFont="1" applyFill="1" applyBorder="1" applyAlignment="1">
      <alignment horizontal="center" vertical="center"/>
    </xf>
    <xf numFmtId="3" fontId="2" fillId="0" borderId="63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3" fontId="2" fillId="7" borderId="63" xfId="0" applyNumberFormat="1" applyFon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3" fontId="2" fillId="0" borderId="62" xfId="0" applyNumberFormat="1" applyFont="1" applyBorder="1" applyAlignment="1">
      <alignment horizontal="center" vertical="center"/>
    </xf>
    <xf numFmtId="0" fontId="3" fillId="11" borderId="65" xfId="0" applyFont="1" applyFill="1" applyBorder="1" applyAlignment="1">
      <alignment horizontal="center" vertical="center"/>
    </xf>
    <xf numFmtId="0" fontId="2" fillId="11" borderId="40" xfId="0" applyFont="1" applyFill="1" applyBorder="1" applyAlignment="1">
      <alignment horizontal="center" vertical="center"/>
    </xf>
    <xf numFmtId="0" fontId="2" fillId="11" borderId="66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" fontId="2" fillId="0" borderId="62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0" fontId="3" fillId="9" borderId="62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 vertical="center"/>
    </xf>
    <xf numFmtId="0" fontId="3" fillId="9" borderId="6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10" borderId="62" xfId="0" applyFont="1" applyFill="1" applyBorder="1" applyAlignment="1">
      <alignment horizontal="center" vertical="center"/>
    </xf>
    <xf numFmtId="0" fontId="3" fillId="10" borderId="63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 readingOrder="2"/>
    </xf>
    <xf numFmtId="0" fontId="3" fillId="0" borderId="0" xfId="0" applyFont="1" applyAlignment="1">
      <alignment horizontal="right"/>
    </xf>
    <xf numFmtId="0" fontId="2" fillId="0" borderId="7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7" borderId="78" xfId="0" applyFont="1" applyFill="1" applyBorder="1" applyAlignment="1">
      <alignment horizontal="center" vertical="center"/>
    </xf>
    <xf numFmtId="0" fontId="2" fillId="7" borderId="81" xfId="0" applyFont="1" applyFill="1" applyBorder="1" applyAlignment="1">
      <alignment horizontal="center" vertical="center"/>
    </xf>
    <xf numFmtId="0" fontId="3" fillId="0" borderId="8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4" fontId="2" fillId="0" borderId="8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7" borderId="85" xfId="0" applyFont="1" applyFill="1" applyBorder="1" applyAlignment="1">
      <alignment horizontal="center" vertical="center"/>
    </xf>
    <xf numFmtId="4" fontId="2" fillId="0" borderId="7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94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8" fillId="23" borderId="29" xfId="0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horizontal="center" vertical="center"/>
    </xf>
    <xf numFmtId="0" fontId="8" fillId="23" borderId="14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23" borderId="10" xfId="0" applyFont="1" applyFill="1" applyBorder="1" applyAlignment="1">
      <alignment horizontal="center" vertical="center"/>
    </xf>
    <xf numFmtId="0" fontId="8" fillId="23" borderId="15" xfId="0" applyFont="1" applyFill="1" applyBorder="1" applyAlignment="1">
      <alignment horizontal="center" vertical="center"/>
    </xf>
    <xf numFmtId="0" fontId="5" fillId="19" borderId="108" xfId="0" applyFont="1" applyFill="1" applyBorder="1" applyAlignment="1">
      <alignment horizontal="right"/>
    </xf>
    <xf numFmtId="0" fontId="5" fillId="19" borderId="30" xfId="0" applyFont="1" applyFill="1" applyBorder="1" applyAlignment="1">
      <alignment horizontal="right"/>
    </xf>
    <xf numFmtId="0" fontId="5" fillId="19" borderId="12" xfId="0" applyFont="1" applyFill="1" applyBorder="1" applyAlignment="1">
      <alignment horizontal="right"/>
    </xf>
    <xf numFmtId="0" fontId="2" fillId="0" borderId="10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2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22" borderId="142" xfId="0" applyFont="1" applyFill="1" applyBorder="1" applyAlignment="1">
      <alignment horizontal="right" vertical="center"/>
    </xf>
    <xf numFmtId="0" fontId="2" fillId="22" borderId="0" xfId="0" applyFont="1" applyFill="1" applyBorder="1" applyAlignment="1">
      <alignment horizontal="right" vertical="center"/>
    </xf>
    <xf numFmtId="0" fontId="2" fillId="22" borderId="14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3" fontId="2" fillId="0" borderId="115" xfId="0" applyNumberFormat="1" applyFont="1" applyBorder="1" applyAlignment="1">
      <alignment horizontal="center"/>
    </xf>
    <xf numFmtId="173" fontId="2" fillId="0" borderId="116" xfId="0" applyNumberFormat="1" applyFont="1" applyBorder="1" applyAlignment="1">
      <alignment horizontal="center"/>
    </xf>
    <xf numFmtId="173" fontId="2" fillId="0" borderId="117" xfId="0" applyNumberFormat="1" applyFont="1" applyBorder="1" applyAlignment="1">
      <alignment horizontal="center"/>
    </xf>
    <xf numFmtId="0" fontId="2" fillId="21" borderId="27" xfId="0" applyFont="1" applyFill="1" applyBorder="1" applyAlignment="1">
      <alignment horizontal="right" vertical="center"/>
    </xf>
    <xf numFmtId="0" fontId="2" fillId="21" borderId="28" xfId="0" applyFont="1" applyFill="1" applyBorder="1" applyAlignment="1">
      <alignment horizontal="right" vertical="center"/>
    </xf>
    <xf numFmtId="0" fontId="2" fillId="21" borderId="13" xfId="0" applyFont="1" applyFill="1" applyBorder="1" applyAlignment="1">
      <alignment horizontal="right" vertical="center"/>
    </xf>
    <xf numFmtId="0" fontId="2" fillId="0" borderId="115" xfId="0" applyFont="1" applyBorder="1" applyAlignment="1">
      <alignment horizontal="right"/>
    </xf>
    <xf numFmtId="0" fontId="2" fillId="0" borderId="116" xfId="0" applyFont="1" applyBorder="1" applyAlignment="1">
      <alignment horizontal="right"/>
    </xf>
    <xf numFmtId="0" fontId="2" fillId="0" borderId="117" xfId="0" applyFont="1" applyBorder="1" applyAlignment="1">
      <alignment horizontal="right"/>
    </xf>
    <xf numFmtId="0" fontId="2" fillId="0" borderId="122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22" borderId="145" xfId="0" applyFont="1" applyFill="1" applyBorder="1" applyAlignment="1">
      <alignment horizontal="center"/>
    </xf>
    <xf numFmtId="0" fontId="2" fillId="22" borderId="146" xfId="0" applyFont="1" applyFill="1" applyBorder="1" applyAlignment="1">
      <alignment horizontal="center"/>
    </xf>
    <xf numFmtId="0" fontId="2" fillId="22" borderId="140" xfId="0" applyFont="1" applyFill="1" applyBorder="1" applyAlignment="1">
      <alignment horizontal="center" vertical="top"/>
    </xf>
    <xf numFmtId="0" fontId="2" fillId="22" borderId="141" xfId="0" applyFont="1" applyFill="1" applyBorder="1" applyAlignment="1">
      <alignment horizontal="center" vertical="top"/>
    </xf>
    <xf numFmtId="0" fontId="2" fillId="22" borderId="114" xfId="0" applyFont="1" applyFill="1" applyBorder="1" applyAlignment="1">
      <alignment horizontal="center" vertical="top"/>
    </xf>
    <xf numFmtId="0" fontId="2" fillId="7" borderId="122" xfId="0" applyFont="1" applyFill="1" applyBorder="1" applyAlignment="1">
      <alignment horizontal="right"/>
    </xf>
    <xf numFmtId="0" fontId="2" fillId="7" borderId="30" xfId="0" applyFont="1" applyFill="1" applyBorder="1" applyAlignment="1">
      <alignment horizontal="right"/>
    </xf>
    <xf numFmtId="0" fontId="2" fillId="7" borderId="12" xfId="0" applyFont="1" applyFill="1" applyBorder="1" applyAlignment="1">
      <alignment horizontal="right"/>
    </xf>
    <xf numFmtId="0" fontId="2" fillId="0" borderId="12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123" xfId="0" applyFont="1" applyBorder="1" applyAlignment="1">
      <alignment horizontal="right" vertical="center"/>
    </xf>
    <xf numFmtId="0" fontId="2" fillId="7" borderId="122" xfId="0" applyFont="1" applyFill="1" applyBorder="1" applyAlignment="1">
      <alignment horizontal="right" vertical="center"/>
    </xf>
    <xf numFmtId="0" fontId="2" fillId="7" borderId="30" xfId="0" applyFont="1" applyFill="1" applyBorder="1" applyAlignment="1">
      <alignment horizontal="right" vertical="center"/>
    </xf>
    <xf numFmtId="0" fontId="2" fillId="7" borderId="123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8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119" xfId="0" applyFont="1" applyBorder="1" applyAlignment="1">
      <alignment horizontal="right" vertical="center"/>
    </xf>
    <xf numFmtId="0" fontId="2" fillId="0" borderId="12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1" xfId="0" applyFont="1" applyBorder="1" applyAlignment="1">
      <alignment horizontal="right" vertical="center"/>
    </xf>
    <xf numFmtId="175" fontId="2" fillId="0" borderId="28" xfId="0" applyNumberFormat="1" applyFont="1" applyBorder="1" applyAlignment="1">
      <alignment horizontal="center" vertical="center"/>
    </xf>
    <xf numFmtId="175" fontId="2" fillId="0" borderId="119" xfId="0" applyNumberFormat="1" applyFont="1" applyBorder="1" applyAlignment="1">
      <alignment horizontal="center" vertical="center"/>
    </xf>
    <xf numFmtId="175" fontId="2" fillId="0" borderId="10" xfId="0" applyNumberFormat="1" applyFont="1" applyBorder="1" applyAlignment="1">
      <alignment horizontal="center" vertical="center"/>
    </xf>
    <xf numFmtId="175" fontId="2" fillId="0" borderId="12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73" fontId="2" fillId="0" borderId="122" xfId="0" applyNumberFormat="1" applyFont="1" applyBorder="1" applyAlignment="1">
      <alignment horizontal="center"/>
    </xf>
    <xf numFmtId="173" fontId="2" fillId="0" borderId="123" xfId="0" applyNumberFormat="1" applyFont="1" applyBorder="1" applyAlignment="1">
      <alignment horizontal="center"/>
    </xf>
    <xf numFmtId="173" fontId="2" fillId="7" borderId="30" xfId="0" applyNumberFormat="1" applyFont="1" applyFill="1" applyBorder="1" applyAlignment="1">
      <alignment horizontal="center"/>
    </xf>
    <xf numFmtId="173" fontId="2" fillId="7" borderId="123" xfId="0" applyNumberFormat="1" applyFont="1" applyFill="1" applyBorder="1" applyAlignment="1">
      <alignment horizontal="center"/>
    </xf>
    <xf numFmtId="173" fontId="2" fillId="0" borderId="30" xfId="0" applyNumberFormat="1" applyFont="1" applyBorder="1" applyAlignment="1">
      <alignment horizontal="center"/>
    </xf>
    <xf numFmtId="0" fontId="2" fillId="0" borderId="28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73" fontId="2" fillId="0" borderId="28" xfId="0" applyNumberFormat="1" applyFont="1" applyBorder="1" applyAlignment="1">
      <alignment horizontal="center"/>
    </xf>
    <xf numFmtId="173" fontId="2" fillId="0" borderId="13" xfId="0" applyNumberFormat="1" applyFont="1" applyBorder="1" applyAlignment="1">
      <alignment horizontal="center"/>
    </xf>
    <xf numFmtId="174" fontId="2" fillId="0" borderId="0" xfId="0" applyNumberFormat="1" applyFont="1" applyBorder="1" applyAlignment="1">
      <alignment horizontal="center"/>
    </xf>
    <xf numFmtId="174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7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22" borderId="110" xfId="0" applyFont="1" applyFill="1" applyBorder="1" applyAlignment="1">
      <alignment horizontal="right"/>
    </xf>
    <xf numFmtId="0" fontId="2" fillId="22" borderId="128" xfId="0" applyFont="1" applyFill="1" applyBorder="1" applyAlignment="1">
      <alignment horizontal="right"/>
    </xf>
    <xf numFmtId="0" fontId="2" fillId="22" borderId="137" xfId="0" applyFont="1" applyFill="1" applyBorder="1" applyAlignment="1">
      <alignment horizontal="center" vertical="top"/>
    </xf>
    <xf numFmtId="0" fontId="2" fillId="22" borderId="138" xfId="0" applyFont="1" applyFill="1" applyBorder="1" applyAlignment="1">
      <alignment horizontal="center" vertical="top"/>
    </xf>
    <xf numFmtId="0" fontId="2" fillId="22" borderId="139" xfId="0" applyFont="1" applyFill="1" applyBorder="1" applyAlignment="1">
      <alignment horizontal="center" vertical="top"/>
    </xf>
    <xf numFmtId="0" fontId="2" fillId="22" borderId="111" xfId="0" applyFont="1" applyFill="1" applyBorder="1" applyAlignment="1">
      <alignment horizontal="center" vertical="center"/>
    </xf>
    <xf numFmtId="0" fontId="2" fillId="22" borderId="134" xfId="0" applyFont="1" applyFill="1" applyBorder="1" applyAlignment="1">
      <alignment horizontal="center" vertical="center"/>
    </xf>
    <xf numFmtId="0" fontId="2" fillId="22" borderId="126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/>
    </xf>
    <xf numFmtId="0" fontId="2" fillId="22" borderId="132" xfId="0" applyFont="1" applyFill="1" applyBorder="1" applyAlignment="1">
      <alignment horizontal="right" readingOrder="2"/>
    </xf>
    <xf numFmtId="0" fontId="2" fillId="22" borderId="135" xfId="0" applyFont="1" applyFill="1" applyBorder="1" applyAlignment="1">
      <alignment horizontal="right" readingOrder="2"/>
    </xf>
    <xf numFmtId="0" fontId="2" fillId="13" borderId="124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22" borderId="132" xfId="0" applyFont="1" applyFill="1" applyBorder="1" applyAlignment="1">
      <alignment horizontal="center" vertical="center"/>
    </xf>
    <xf numFmtId="0" fontId="2" fillId="22" borderId="135" xfId="0" applyFont="1" applyFill="1" applyBorder="1" applyAlignment="1">
      <alignment horizontal="center" vertical="center"/>
    </xf>
    <xf numFmtId="0" fontId="2" fillId="22" borderId="110" xfId="0" applyFont="1" applyFill="1" applyBorder="1" applyAlignment="1">
      <alignment horizontal="center"/>
    </xf>
    <xf numFmtId="0" fontId="2" fillId="22" borderId="128" xfId="0" applyFont="1" applyFill="1" applyBorder="1" applyAlignment="1">
      <alignment horizontal="center"/>
    </xf>
    <xf numFmtId="0" fontId="2" fillId="12" borderId="108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3" borderId="108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2" fillId="13" borderId="12" xfId="0" applyFont="1" applyFill="1" applyBorder="1" applyAlignment="1">
      <alignment horizontal="center"/>
    </xf>
    <xf numFmtId="0" fontId="11" fillId="22" borderId="110" xfId="0" applyFont="1" applyFill="1" applyBorder="1" applyAlignment="1">
      <alignment horizontal="right"/>
    </xf>
    <xf numFmtId="0" fontId="11" fillId="22" borderId="109" xfId="0" applyFont="1" applyFill="1" applyBorder="1" applyAlignment="1">
      <alignment horizontal="right"/>
    </xf>
    <xf numFmtId="0" fontId="11" fillId="22" borderId="112" xfId="0" applyFont="1" applyFill="1" applyBorder="1" applyAlignment="1">
      <alignment horizontal="right"/>
    </xf>
    <xf numFmtId="0" fontId="2" fillId="20" borderId="108" xfId="0" applyFont="1" applyFill="1" applyBorder="1" applyAlignment="1">
      <alignment horizontal="center"/>
    </xf>
    <xf numFmtId="0" fontId="2" fillId="20" borderId="30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5" borderId="10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0" borderId="30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2" fillId="5" borderId="10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2" borderId="143" xfId="0" applyFont="1" applyFill="1" applyBorder="1" applyAlignment="1">
      <alignment horizontal="center"/>
    </xf>
    <xf numFmtId="0" fontId="2" fillId="22" borderId="144" xfId="0" applyFont="1" applyFill="1" applyBorder="1" applyAlignment="1">
      <alignment horizontal="center"/>
    </xf>
    <xf numFmtId="165" fontId="2" fillId="12" borderId="9" xfId="0" applyNumberFormat="1" applyFont="1" applyFill="1" applyBorder="1" applyAlignment="1">
      <alignment horizontal="center" vertical="center"/>
    </xf>
    <xf numFmtId="165" fontId="2" fillId="12" borderId="15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03" xfId="0" applyFont="1" applyBorder="1" applyAlignment="1">
      <alignment horizont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64" fontId="2" fillId="17" borderId="45" xfId="0" applyNumberFormat="1" applyFont="1" applyFill="1" applyBorder="1" applyAlignment="1">
      <alignment horizontal="center" vertical="center"/>
    </xf>
    <xf numFmtId="164" fontId="2" fillId="17" borderId="43" xfId="0" applyNumberFormat="1" applyFont="1" applyFill="1" applyBorder="1" applyAlignment="1">
      <alignment horizontal="center" vertical="center"/>
    </xf>
    <xf numFmtId="164" fontId="2" fillId="15" borderId="45" xfId="0" applyNumberFormat="1" applyFont="1" applyFill="1" applyBorder="1" applyAlignment="1">
      <alignment horizontal="center" vertical="center"/>
    </xf>
    <xf numFmtId="164" fontId="2" fillId="15" borderId="43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3" fillId="14" borderId="46" xfId="0" applyFont="1" applyFill="1" applyBorder="1" applyAlignment="1">
      <alignment horizontal="center"/>
    </xf>
    <xf numFmtId="0" fontId="3" fillId="14" borderId="47" xfId="0" applyFont="1" applyFill="1" applyBorder="1" applyAlignment="1">
      <alignment horizontal="center"/>
    </xf>
    <xf numFmtId="164" fontId="2" fillId="16" borderId="45" xfId="0" applyNumberFormat="1" applyFont="1" applyFill="1" applyBorder="1" applyAlignment="1">
      <alignment horizontal="center" vertical="center"/>
    </xf>
    <xf numFmtId="164" fontId="2" fillId="16" borderId="43" xfId="0" applyNumberFormat="1" applyFont="1" applyFill="1" applyBorder="1" applyAlignment="1">
      <alignment horizontal="center" vertical="center"/>
    </xf>
    <xf numFmtId="164" fontId="2" fillId="11" borderId="45" xfId="0" applyNumberFormat="1" applyFont="1" applyFill="1" applyBorder="1" applyAlignment="1">
      <alignment horizontal="center" vertical="center" readingOrder="2"/>
    </xf>
    <xf numFmtId="164" fontId="2" fillId="11" borderId="43" xfId="0" applyNumberFormat="1" applyFont="1" applyFill="1" applyBorder="1" applyAlignment="1">
      <alignment horizontal="center" vertical="center" readingOrder="2"/>
    </xf>
    <xf numFmtId="0" fontId="0" fillId="6" borderId="59" xfId="0" applyFill="1" applyBorder="1" applyAlignment="1">
      <alignment horizontal="center"/>
    </xf>
    <xf numFmtId="0" fontId="0" fillId="6" borderId="60" xfId="0" applyFill="1" applyBorder="1" applyAlignment="1">
      <alignment horizontal="center"/>
    </xf>
    <xf numFmtId="0" fontId="0" fillId="6" borderId="61" xfId="0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0" fillId="6" borderId="56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5" fillId="0" borderId="6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3" fillId="8" borderId="62" xfId="0" applyFont="1" applyFill="1" applyBorder="1" applyAlignment="1">
      <alignment horizontal="right" vertical="center"/>
    </xf>
    <xf numFmtId="0" fontId="3" fillId="8" borderId="63" xfId="0" applyFont="1" applyFill="1" applyBorder="1" applyAlignment="1">
      <alignment horizontal="right" vertical="center"/>
    </xf>
    <xf numFmtId="0" fontId="3" fillId="8" borderId="64" xfId="0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 readingOrder="2"/>
    </xf>
    <xf numFmtId="0" fontId="2" fillId="0" borderId="63" xfId="0" applyFont="1" applyBorder="1" applyAlignment="1">
      <alignment horizontal="right" vertical="center" readingOrder="2"/>
    </xf>
    <xf numFmtId="0" fontId="2" fillId="0" borderId="64" xfId="0" applyFont="1" applyBorder="1" applyAlignment="1">
      <alignment horizontal="right" vertical="center" readingOrder="2"/>
    </xf>
    <xf numFmtId="0" fontId="3" fillId="0" borderId="62" xfId="0" applyFont="1" applyBorder="1" applyAlignment="1">
      <alignment horizontal="center" vertical="center" readingOrder="2"/>
    </xf>
    <xf numFmtId="0" fontId="3" fillId="0" borderId="63" xfId="0" applyFont="1" applyBorder="1" applyAlignment="1">
      <alignment horizontal="center" vertical="center" readingOrder="2"/>
    </xf>
    <xf numFmtId="0" fontId="3" fillId="0" borderId="64" xfId="0" applyFont="1" applyBorder="1" applyAlignment="1">
      <alignment horizontal="center" vertical="center" readingOrder="2"/>
    </xf>
    <xf numFmtId="0" fontId="2" fillId="0" borderId="65" xfId="0" applyFont="1" applyBorder="1" applyAlignment="1">
      <alignment horizontal="right" vertical="center" readingOrder="2"/>
    </xf>
    <xf numFmtId="0" fontId="2" fillId="0" borderId="40" xfId="0" applyFont="1" applyBorder="1" applyAlignment="1">
      <alignment horizontal="right" vertical="center" readingOrder="2"/>
    </xf>
    <xf numFmtId="0" fontId="2" fillId="0" borderId="66" xfId="0" applyFont="1" applyBorder="1" applyAlignment="1">
      <alignment horizontal="right" vertical="center" readingOrder="2"/>
    </xf>
    <xf numFmtId="0" fontId="2" fillId="0" borderId="32" xfId="0" applyFont="1" applyBorder="1" applyAlignment="1">
      <alignment horizontal="right" vertical="center"/>
    </xf>
    <xf numFmtId="0" fontId="2" fillId="0" borderId="70" xfId="0" applyFont="1" applyBorder="1" applyAlignment="1">
      <alignment horizontal="right" vertical="center"/>
    </xf>
    <xf numFmtId="0" fontId="2" fillId="0" borderId="62" xfId="0" applyFont="1" applyBorder="1" applyAlignment="1">
      <alignment horizontal="right"/>
    </xf>
    <xf numFmtId="0" fontId="2" fillId="0" borderId="63" xfId="0" applyFont="1" applyBorder="1" applyAlignment="1">
      <alignment horizontal="right"/>
    </xf>
    <xf numFmtId="0" fontId="2" fillId="0" borderId="64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2" fillId="0" borderId="37" xfId="0" applyFont="1" applyBorder="1" applyAlignment="1">
      <alignment horizontal="right" vertical="center" readingOrder="2"/>
    </xf>
    <xf numFmtId="0" fontId="2" fillId="0" borderId="38" xfId="0" applyFont="1" applyBorder="1" applyAlignment="1">
      <alignment horizontal="right" vertical="center" readingOrder="2"/>
    </xf>
    <xf numFmtId="0" fontId="2" fillId="0" borderId="68" xfId="0" applyFont="1" applyBorder="1" applyAlignment="1">
      <alignment horizontal="right" vertical="center" readingOrder="2"/>
    </xf>
    <xf numFmtId="0" fontId="2" fillId="0" borderId="52" xfId="0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right" vertical="center"/>
    </xf>
    <xf numFmtId="0" fontId="2" fillId="0" borderId="73" xfId="0" applyFont="1" applyBorder="1" applyAlignment="1">
      <alignment horizontal="right" vertical="center"/>
    </xf>
    <xf numFmtId="9" fontId="2" fillId="0" borderId="75" xfId="0" applyNumberFormat="1" applyFont="1" applyBorder="1" applyAlignment="1">
      <alignment horizontal="center" vertical="center" readingOrder="2"/>
    </xf>
    <xf numFmtId="9" fontId="2" fillId="0" borderId="49" xfId="0" applyNumberFormat="1" applyFont="1" applyBorder="1" applyAlignment="1">
      <alignment horizontal="center" vertical="center" readingOrder="2"/>
    </xf>
    <xf numFmtId="0" fontId="2" fillId="0" borderId="7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75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61" xfId="0" applyNumberFormat="1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173" fontId="2" fillId="0" borderId="58" xfId="0" applyNumberFormat="1" applyFont="1" applyBorder="1" applyAlignment="1">
      <alignment horizontal="center"/>
    </xf>
    <xf numFmtId="173" fontId="2" fillId="0" borderId="56" xfId="0" applyNumberFormat="1" applyFont="1" applyBorder="1" applyAlignment="1">
      <alignment horizontal="center"/>
    </xf>
    <xf numFmtId="173" fontId="2" fillId="0" borderId="34" xfId="0" applyNumberFormat="1" applyFont="1" applyBorder="1" applyAlignment="1">
      <alignment horizontal="center"/>
    </xf>
    <xf numFmtId="173" fontId="2" fillId="0" borderId="58" xfId="0" applyNumberFormat="1" applyFont="1" applyBorder="1" applyAlignment="1">
      <alignment horizontal="center" vertical="center"/>
    </xf>
    <xf numFmtId="173" fontId="2" fillId="0" borderId="34" xfId="0" applyNumberFormat="1" applyFont="1" applyBorder="1" applyAlignment="1">
      <alignment horizontal="center" vertical="center"/>
    </xf>
    <xf numFmtId="173" fontId="2" fillId="0" borderId="37" xfId="0" applyNumberFormat="1" applyFont="1" applyBorder="1" applyAlignment="1">
      <alignment horizontal="center" vertical="center"/>
    </xf>
    <xf numFmtId="173" fontId="2" fillId="0" borderId="6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3" fontId="2" fillId="0" borderId="59" xfId="0" applyNumberFormat="1" applyFont="1" applyBorder="1" applyAlignment="1">
      <alignment horizontal="center" vertical="center"/>
    </xf>
    <xf numFmtId="173" fontId="2" fillId="0" borderId="10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83" xfId="0" applyFont="1" applyBorder="1" applyAlignment="1">
      <alignment horizontal="center" vertical="center"/>
    </xf>
    <xf numFmtId="173" fontId="2" fillId="0" borderId="37" xfId="0" applyNumberFormat="1" applyFont="1" applyBorder="1" applyAlignment="1">
      <alignment horizontal="center"/>
    </xf>
    <xf numFmtId="173" fontId="2" fillId="0" borderId="38" xfId="0" applyNumberFormat="1" applyFont="1" applyBorder="1" applyAlignment="1">
      <alignment horizontal="center"/>
    </xf>
    <xf numFmtId="173" fontId="2" fillId="0" borderId="68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>
                <a:cs typeface="B Nazanin" panose="00000400000000000000" pitchFamily="2" charset="-78"/>
              </a:rPr>
              <a:t>محاسبه استهلاک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محاسبه استهلاک</c:v>
          </c:tx>
          <c:xVal>
            <c:numRef>
              <c:f>'استهلاک سرمایه'!$J$4:$J$19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'استهلاک سرمایه'!$M$4:$M$19</c:f>
              <c:numCache>
                <c:formatCode>_-* #,##0_-;_-* #,##0\-;_-* "-"_-;_-@_-</c:formatCode>
                <c:ptCount val="16"/>
                <c:pt idx="0">
                  <c:v>1535847425000</c:v>
                </c:pt>
                <c:pt idx="1">
                  <c:v>1433457596666.6667</c:v>
                </c:pt>
                <c:pt idx="2">
                  <c:v>1331067768333.3335</c:v>
                </c:pt>
                <c:pt idx="3">
                  <c:v>1228677940000.0002</c:v>
                </c:pt>
                <c:pt idx="4">
                  <c:v>1126288111666.667</c:v>
                </c:pt>
                <c:pt idx="5">
                  <c:v>1023898283333.3336</c:v>
                </c:pt>
                <c:pt idx="6">
                  <c:v>921508455000.00024</c:v>
                </c:pt>
                <c:pt idx="7">
                  <c:v>819118626666.66687</c:v>
                </c:pt>
                <c:pt idx="8">
                  <c:v>716728798333.3335</c:v>
                </c:pt>
                <c:pt idx="9">
                  <c:v>614338970000.00012</c:v>
                </c:pt>
                <c:pt idx="10">
                  <c:v>511949141666.66681</c:v>
                </c:pt>
                <c:pt idx="11">
                  <c:v>409559313333.3335</c:v>
                </c:pt>
                <c:pt idx="12">
                  <c:v>307169485000.00018</c:v>
                </c:pt>
                <c:pt idx="13">
                  <c:v>204779656666.66687</c:v>
                </c:pt>
                <c:pt idx="14">
                  <c:v>102389828333.33354</c:v>
                </c:pt>
                <c:pt idx="15">
                  <c:v>2.13623046875E-4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4502160"/>
        <c:axId val="-154498352"/>
      </c:scatterChart>
      <c:valAx>
        <c:axId val="-15450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4498352"/>
        <c:crosses val="autoZero"/>
        <c:crossBetween val="midCat"/>
      </c:valAx>
      <c:valAx>
        <c:axId val="-154498352"/>
        <c:scaling>
          <c:orientation val="minMax"/>
        </c:scaling>
        <c:delete val="0"/>
        <c:axPos val="l"/>
        <c:majorGridlines/>
        <c:numFmt formatCode="_-* #,##0_-;_-* #,##0\-;_-* &quot;-&quot;_-;_-@_-" sourceLinked="1"/>
        <c:majorTickMark val="out"/>
        <c:minorTickMark val="none"/>
        <c:tickLblPos val="nextTo"/>
        <c:crossAx val="-154502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176894</xdr:colOff>
      <xdr:row>8</xdr:row>
      <xdr:rowOff>82323</xdr:rowOff>
    </xdr:from>
    <xdr:to>
      <xdr:col>8</xdr:col>
      <xdr:colOff>304801</xdr:colOff>
      <xdr:row>19</xdr:row>
      <xdr:rowOff>54429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18</xdr:row>
      <xdr:rowOff>0</xdr:rowOff>
    </xdr:from>
    <xdr:to>
      <xdr:col>13</xdr:col>
      <xdr:colOff>360588</xdr:colOff>
      <xdr:row>31</xdr:row>
      <xdr:rowOff>13607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9603161" y="4340679"/>
          <a:ext cx="8647339" cy="2326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13</xdr:row>
      <xdr:rowOff>95250</xdr:rowOff>
    </xdr:from>
    <xdr:to>
      <xdr:col>15</xdr:col>
      <xdr:colOff>466725</xdr:colOff>
      <xdr:row>33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393475" y="3228975"/>
          <a:ext cx="9867900" cy="362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rightToLeft="1" topLeftCell="B7" workbookViewId="0">
      <selection activeCell="G16" sqref="G16"/>
    </sheetView>
  </sheetViews>
  <sheetFormatPr defaultRowHeight="15"/>
  <cols>
    <col min="1" max="1" width="6" customWidth="1"/>
    <col min="5" max="5" width="10.42578125" customWidth="1"/>
    <col min="6" max="6" width="9.85546875" customWidth="1"/>
    <col min="7" max="7" width="12" bestFit="1" customWidth="1"/>
    <col min="14" max="14" width="10.85546875" bestFit="1" customWidth="1"/>
    <col min="15" max="15" width="11.85546875" bestFit="1" customWidth="1"/>
    <col min="16" max="16" width="12.28515625" bestFit="1" customWidth="1"/>
  </cols>
  <sheetData>
    <row r="1" spans="1:12" ht="18.75" thickBot="1">
      <c r="B1" s="93"/>
      <c r="C1" s="93"/>
      <c r="D1" s="93"/>
      <c r="E1" s="93"/>
      <c r="F1" s="93"/>
      <c r="G1" s="93"/>
      <c r="H1" s="93"/>
      <c r="I1" s="93"/>
      <c r="J1" s="93"/>
      <c r="K1" s="92"/>
      <c r="L1" s="63"/>
    </row>
    <row r="2" spans="1:12" ht="30" customHeight="1" thickTop="1" thickBot="1">
      <c r="A2" s="340" t="s">
        <v>144</v>
      </c>
      <c r="B2" s="341"/>
      <c r="C2" s="341"/>
      <c r="D2" s="341"/>
      <c r="E2" s="341"/>
      <c r="F2" s="341"/>
      <c r="G2" s="341"/>
      <c r="H2" s="341"/>
      <c r="I2" s="341"/>
      <c r="J2" s="341"/>
      <c r="K2" s="342"/>
      <c r="L2" s="63"/>
    </row>
    <row r="3" spans="1:12" ht="18.75" thickTop="1">
      <c r="A3" s="101">
        <v>1</v>
      </c>
      <c r="B3" s="363" t="s">
        <v>110</v>
      </c>
      <c r="C3" s="364"/>
      <c r="D3" s="364"/>
      <c r="E3" s="364"/>
      <c r="F3" s="365"/>
      <c r="G3" s="96" t="s">
        <v>307</v>
      </c>
      <c r="H3" s="97"/>
      <c r="I3" s="97"/>
      <c r="J3" s="97"/>
      <c r="K3" s="98"/>
      <c r="L3" s="63"/>
    </row>
    <row r="4" spans="1:12" ht="18">
      <c r="A4" s="75">
        <v>2</v>
      </c>
      <c r="B4" s="344" t="s">
        <v>111</v>
      </c>
      <c r="C4" s="345"/>
      <c r="D4" s="345"/>
      <c r="E4" s="345"/>
      <c r="F4" s="346"/>
      <c r="G4" s="79" t="s">
        <v>112</v>
      </c>
      <c r="H4" s="89"/>
      <c r="I4" s="89"/>
      <c r="J4" s="89"/>
      <c r="K4" s="90"/>
      <c r="L4" s="63"/>
    </row>
    <row r="5" spans="1:12" ht="18">
      <c r="A5" s="75">
        <v>3</v>
      </c>
      <c r="B5" s="366" t="s">
        <v>113</v>
      </c>
      <c r="C5" s="367"/>
      <c r="D5" s="367"/>
      <c r="E5" s="367"/>
      <c r="F5" s="368"/>
      <c r="G5" s="306">
        <v>35000</v>
      </c>
      <c r="H5" s="89" t="s">
        <v>82</v>
      </c>
      <c r="I5" s="89"/>
      <c r="J5" s="89"/>
      <c r="K5" s="90"/>
      <c r="L5" s="63"/>
    </row>
    <row r="6" spans="1:12" ht="18">
      <c r="A6" s="75">
        <v>4</v>
      </c>
      <c r="B6" s="344" t="s">
        <v>114</v>
      </c>
      <c r="C6" s="345"/>
      <c r="D6" s="345"/>
      <c r="E6" s="345"/>
      <c r="F6" s="346"/>
      <c r="G6" s="79">
        <v>35000</v>
      </c>
      <c r="H6" s="343" t="s">
        <v>135</v>
      </c>
      <c r="I6" s="343"/>
      <c r="J6" s="343"/>
      <c r="K6" s="90"/>
      <c r="L6" s="63"/>
    </row>
    <row r="7" spans="1:12" ht="18">
      <c r="A7" s="75">
        <v>5</v>
      </c>
      <c r="B7" s="344" t="s">
        <v>115</v>
      </c>
      <c r="C7" s="345"/>
      <c r="D7" s="345"/>
      <c r="E7" s="345"/>
      <c r="F7" s="346"/>
      <c r="G7" s="99">
        <v>0.35</v>
      </c>
      <c r="H7" s="89" t="s">
        <v>38</v>
      </c>
      <c r="I7" s="89"/>
      <c r="J7" s="89"/>
      <c r="K7" s="90"/>
      <c r="L7" s="63"/>
    </row>
    <row r="8" spans="1:12" ht="18">
      <c r="A8" s="75">
        <v>6</v>
      </c>
      <c r="B8" s="344" t="s">
        <v>116</v>
      </c>
      <c r="C8" s="345"/>
      <c r="D8" s="345"/>
      <c r="E8" s="345"/>
      <c r="F8" s="346"/>
      <c r="G8" s="99">
        <v>0.85</v>
      </c>
      <c r="H8" s="89" t="s">
        <v>38</v>
      </c>
      <c r="I8" s="89"/>
      <c r="J8" s="89"/>
      <c r="K8" s="90"/>
      <c r="L8" s="63"/>
    </row>
    <row r="9" spans="1:12" ht="18">
      <c r="A9" s="75">
        <v>7</v>
      </c>
      <c r="B9" s="344" t="s">
        <v>117</v>
      </c>
      <c r="C9" s="345"/>
      <c r="D9" s="345"/>
      <c r="E9" s="345"/>
      <c r="F9" s="346"/>
      <c r="G9" s="99">
        <v>0.15</v>
      </c>
      <c r="H9" s="89" t="s">
        <v>38</v>
      </c>
      <c r="I9" s="89"/>
      <c r="J9" s="89"/>
      <c r="K9" s="90"/>
      <c r="L9" s="63"/>
    </row>
    <row r="10" spans="1:12" ht="18">
      <c r="A10" s="75">
        <v>8</v>
      </c>
      <c r="B10" s="347" t="s">
        <v>233</v>
      </c>
      <c r="C10" s="348"/>
      <c r="D10" s="348"/>
      <c r="E10" s="348"/>
      <c r="F10" s="349"/>
      <c r="G10" s="256">
        <v>14</v>
      </c>
      <c r="H10" s="89" t="s">
        <v>136</v>
      </c>
      <c r="I10" s="89"/>
      <c r="J10" s="89"/>
      <c r="K10" s="90"/>
      <c r="L10" s="63"/>
    </row>
    <row r="11" spans="1:12" ht="18">
      <c r="A11" s="75">
        <v>9</v>
      </c>
      <c r="B11" s="347" t="s">
        <v>118</v>
      </c>
      <c r="C11" s="348"/>
      <c r="D11" s="348"/>
      <c r="E11" s="348"/>
      <c r="F11" s="349"/>
      <c r="G11" s="256">
        <v>15</v>
      </c>
      <c r="H11" s="89" t="s">
        <v>137</v>
      </c>
      <c r="I11" s="89"/>
      <c r="J11" s="89"/>
      <c r="K11" s="90"/>
      <c r="L11" s="63"/>
    </row>
    <row r="12" spans="1:12" ht="18">
      <c r="A12" s="75">
        <v>10</v>
      </c>
      <c r="B12" s="360" t="s">
        <v>119</v>
      </c>
      <c r="C12" s="361"/>
      <c r="D12" s="361"/>
      <c r="E12" s="361"/>
      <c r="F12" s="362"/>
      <c r="G12" s="257">
        <v>4.5</v>
      </c>
      <c r="H12" s="89" t="s">
        <v>138</v>
      </c>
      <c r="I12" s="89"/>
      <c r="J12" s="89"/>
      <c r="K12" s="90"/>
      <c r="L12" s="63"/>
    </row>
    <row r="13" spans="1:12" ht="18">
      <c r="A13" s="75">
        <v>11</v>
      </c>
      <c r="B13" s="347" t="s">
        <v>120</v>
      </c>
      <c r="C13" s="348"/>
      <c r="D13" s="348"/>
      <c r="E13" s="348"/>
      <c r="F13" s="349"/>
      <c r="G13" s="258" t="s">
        <v>109</v>
      </c>
      <c r="H13" s="89" t="s">
        <v>82</v>
      </c>
      <c r="I13" s="89"/>
      <c r="J13" s="89"/>
      <c r="K13" s="90"/>
      <c r="L13" s="63"/>
    </row>
    <row r="14" spans="1:12" ht="18">
      <c r="A14" s="75">
        <v>12</v>
      </c>
      <c r="B14" s="347" t="s">
        <v>121</v>
      </c>
      <c r="C14" s="348"/>
      <c r="D14" s="348"/>
      <c r="E14" s="348"/>
      <c r="F14" s="349"/>
      <c r="G14" s="258" t="s">
        <v>109</v>
      </c>
      <c r="H14" s="89" t="s">
        <v>82</v>
      </c>
      <c r="I14" s="89"/>
      <c r="J14" s="89"/>
      <c r="K14" s="90"/>
      <c r="L14" s="63"/>
    </row>
    <row r="15" spans="1:12" ht="18">
      <c r="A15" s="75">
        <v>13</v>
      </c>
      <c r="B15" s="347" t="s">
        <v>122</v>
      </c>
      <c r="C15" s="348"/>
      <c r="D15" s="348"/>
      <c r="E15" s="348"/>
      <c r="F15" s="349"/>
      <c r="G15" s="258" t="s">
        <v>109</v>
      </c>
      <c r="H15" s="89" t="s">
        <v>82</v>
      </c>
      <c r="I15" s="89"/>
      <c r="J15" s="89"/>
      <c r="K15" s="90"/>
      <c r="L15" s="63"/>
    </row>
    <row r="16" spans="1:12" ht="18">
      <c r="A16" s="75">
        <v>14</v>
      </c>
      <c r="B16" s="347" t="s">
        <v>123</v>
      </c>
      <c r="C16" s="348"/>
      <c r="D16" s="348"/>
      <c r="E16" s="348"/>
      <c r="F16" s="349"/>
      <c r="G16" s="258">
        <v>36500</v>
      </c>
      <c r="H16" s="344" t="s">
        <v>140</v>
      </c>
      <c r="I16" s="345"/>
      <c r="J16" s="345"/>
      <c r="K16" s="346"/>
      <c r="L16" s="63"/>
    </row>
    <row r="17" spans="1:16" ht="18">
      <c r="A17" s="75">
        <v>15</v>
      </c>
      <c r="B17" s="347" t="s">
        <v>124</v>
      </c>
      <c r="C17" s="348"/>
      <c r="D17" s="348"/>
      <c r="E17" s="348"/>
      <c r="F17" s="349"/>
      <c r="G17" s="258" t="s">
        <v>109</v>
      </c>
      <c r="H17" s="344" t="s">
        <v>139</v>
      </c>
      <c r="I17" s="345"/>
      <c r="J17" s="345"/>
      <c r="K17" s="346"/>
      <c r="L17" s="63"/>
    </row>
    <row r="18" spans="1:16" ht="18">
      <c r="A18" s="75">
        <v>16</v>
      </c>
      <c r="B18" s="313" t="s">
        <v>125</v>
      </c>
      <c r="C18" s="314"/>
      <c r="D18" s="314"/>
      <c r="E18" s="314"/>
      <c r="F18" s="315"/>
      <c r="G18" s="259">
        <v>1000000000</v>
      </c>
      <c r="H18" s="310"/>
      <c r="I18" s="310"/>
      <c r="J18" s="310"/>
      <c r="K18" s="311"/>
      <c r="L18" s="63"/>
    </row>
    <row r="19" spans="1:16" ht="18">
      <c r="A19" s="75">
        <v>17</v>
      </c>
      <c r="B19" s="347" t="s">
        <v>126</v>
      </c>
      <c r="C19" s="348"/>
      <c r="D19" s="348"/>
      <c r="E19" s="348"/>
      <c r="F19" s="349"/>
      <c r="G19" s="258">
        <v>13000000</v>
      </c>
      <c r="H19" s="89" t="s">
        <v>82</v>
      </c>
      <c r="I19" s="89"/>
      <c r="J19" s="89"/>
      <c r="K19" s="90"/>
      <c r="L19" s="63"/>
    </row>
    <row r="20" spans="1:16" ht="18">
      <c r="A20" s="75">
        <v>18</v>
      </c>
      <c r="B20" s="347" t="s">
        <v>127</v>
      </c>
      <c r="C20" s="348"/>
      <c r="D20" s="348"/>
      <c r="E20" s="348"/>
      <c r="F20" s="349"/>
      <c r="G20" s="258">
        <v>400000</v>
      </c>
      <c r="H20" s="89" t="s">
        <v>82</v>
      </c>
      <c r="I20" s="89"/>
      <c r="J20" s="89"/>
      <c r="K20" s="90"/>
      <c r="L20" s="63"/>
    </row>
    <row r="21" spans="1:16" ht="18">
      <c r="A21" s="75">
        <v>19</v>
      </c>
      <c r="B21" s="347" t="s">
        <v>128</v>
      </c>
      <c r="C21" s="348"/>
      <c r="D21" s="348"/>
      <c r="E21" s="348"/>
      <c r="F21" s="349"/>
      <c r="G21" s="258">
        <v>335</v>
      </c>
      <c r="H21" s="89" t="s">
        <v>141</v>
      </c>
      <c r="I21" s="89"/>
      <c r="J21" s="89"/>
      <c r="K21" s="90"/>
      <c r="L21" s="63"/>
    </row>
    <row r="22" spans="1:16" ht="18">
      <c r="A22" s="75">
        <v>20</v>
      </c>
      <c r="B22" s="347" t="s">
        <v>129</v>
      </c>
      <c r="C22" s="348"/>
      <c r="D22" s="348"/>
      <c r="E22" s="348"/>
      <c r="F22" s="349"/>
      <c r="G22" s="260">
        <v>15</v>
      </c>
      <c r="H22" s="92" t="s">
        <v>38</v>
      </c>
      <c r="I22" s="92"/>
      <c r="J22" s="92"/>
      <c r="K22" s="94"/>
      <c r="L22" s="63"/>
    </row>
    <row r="23" spans="1:16" ht="18">
      <c r="A23" s="75">
        <v>21</v>
      </c>
      <c r="B23" s="350" t="s">
        <v>130</v>
      </c>
      <c r="C23" s="352" t="s">
        <v>131</v>
      </c>
      <c r="D23" s="353"/>
      <c r="E23" s="356" t="s">
        <v>133</v>
      </c>
      <c r="F23" s="357"/>
      <c r="G23" s="258" t="s">
        <v>109</v>
      </c>
      <c r="H23" s="89" t="s">
        <v>142</v>
      </c>
      <c r="I23" s="89"/>
      <c r="J23" s="89"/>
      <c r="K23" s="90"/>
      <c r="L23" s="63"/>
    </row>
    <row r="24" spans="1:16" ht="18.75" thickBot="1">
      <c r="A24" s="75">
        <v>22</v>
      </c>
      <c r="B24" s="351"/>
      <c r="C24" s="354" t="s">
        <v>132</v>
      </c>
      <c r="D24" s="355"/>
      <c r="E24" s="358" t="s">
        <v>134</v>
      </c>
      <c r="F24" s="359"/>
      <c r="G24" s="261">
        <v>300</v>
      </c>
      <c r="H24" s="93" t="s">
        <v>143</v>
      </c>
      <c r="I24" s="93"/>
      <c r="J24" s="93"/>
      <c r="K24" s="95"/>
      <c r="L24" s="63"/>
    </row>
    <row r="25" spans="1:16" ht="25.5" thickTop="1" thickBot="1">
      <c r="A25" s="340" t="s">
        <v>145</v>
      </c>
      <c r="B25" s="341"/>
      <c r="C25" s="341"/>
      <c r="D25" s="341"/>
      <c r="E25" s="341" t="s">
        <v>145</v>
      </c>
      <c r="F25" s="341"/>
      <c r="G25" s="341"/>
      <c r="H25" s="341"/>
      <c r="I25" s="341"/>
      <c r="J25" s="341"/>
      <c r="K25" s="342"/>
    </row>
    <row r="26" spans="1:16" ht="25.5" thickTop="1" thickBot="1">
      <c r="A26" s="340" t="s">
        <v>146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2"/>
    </row>
    <row r="27" spans="1:16" ht="21" thickTop="1" thickBot="1">
      <c r="A27" s="104">
        <v>25</v>
      </c>
      <c r="B27" s="325" t="s">
        <v>79</v>
      </c>
      <c r="C27" s="326"/>
      <c r="D27" s="326"/>
      <c r="E27" s="326"/>
      <c r="F27" s="327"/>
      <c r="G27" s="69" t="s">
        <v>155</v>
      </c>
      <c r="H27" s="325" t="s">
        <v>156</v>
      </c>
      <c r="I27" s="326"/>
      <c r="J27" s="327"/>
      <c r="K27" s="106" t="s">
        <v>38</v>
      </c>
      <c r="L27" s="1"/>
    </row>
    <row r="28" spans="1:16" ht="18.75" thickTop="1">
      <c r="A28" s="102">
        <v>26</v>
      </c>
      <c r="B28" s="309" t="s">
        <v>147</v>
      </c>
      <c r="C28" s="310"/>
      <c r="D28" s="310"/>
      <c r="E28" s="310"/>
      <c r="F28" s="311"/>
      <c r="G28" s="210">
        <v>460</v>
      </c>
      <c r="H28" s="334" t="s">
        <v>157</v>
      </c>
      <c r="I28" s="335"/>
      <c r="J28" s="336"/>
      <c r="K28" s="73">
        <f>G28/$G$38</f>
        <v>0.34855350296270476</v>
      </c>
      <c r="L28" s="48"/>
      <c r="M28" s="194"/>
      <c r="N28" s="194"/>
      <c r="P28" s="194"/>
    </row>
    <row r="29" spans="1:16" ht="18">
      <c r="A29" s="102">
        <v>27</v>
      </c>
      <c r="B29" s="309" t="s">
        <v>148</v>
      </c>
      <c r="C29" s="310"/>
      <c r="D29" s="310"/>
      <c r="E29" s="310"/>
      <c r="F29" s="311"/>
      <c r="G29" s="210">
        <v>55</v>
      </c>
      <c r="H29" s="331" t="s">
        <v>157</v>
      </c>
      <c r="I29" s="332"/>
      <c r="J29" s="333"/>
      <c r="K29" s="73">
        <f t="shared" ref="K29:K37" si="0">G29/$G$38</f>
        <v>4.1674875354236439E-2</v>
      </c>
      <c r="L29" s="48"/>
      <c r="M29" s="194"/>
      <c r="N29" s="194"/>
    </row>
    <row r="30" spans="1:16" ht="18">
      <c r="A30" s="102">
        <v>28</v>
      </c>
      <c r="B30" s="309" t="s">
        <v>149</v>
      </c>
      <c r="C30" s="310"/>
      <c r="D30" s="310"/>
      <c r="E30" s="310"/>
      <c r="F30" s="311"/>
      <c r="G30" s="210">
        <v>195</v>
      </c>
      <c r="H30" s="331" t="s">
        <v>157</v>
      </c>
      <c r="I30" s="332"/>
      <c r="J30" s="333"/>
      <c r="K30" s="73">
        <f t="shared" si="0"/>
        <v>0.14775637625592919</v>
      </c>
      <c r="L30" s="48"/>
      <c r="M30" s="194"/>
      <c r="N30" s="194"/>
    </row>
    <row r="31" spans="1:16" ht="18">
      <c r="A31" s="102">
        <v>29</v>
      </c>
      <c r="B31" s="309" t="s">
        <v>150</v>
      </c>
      <c r="C31" s="310"/>
      <c r="D31" s="310"/>
      <c r="E31" s="310"/>
      <c r="F31" s="311"/>
      <c r="G31" s="210">
        <v>32</v>
      </c>
      <c r="H31" s="331" t="s">
        <v>157</v>
      </c>
      <c r="I31" s="332"/>
      <c r="J31" s="333"/>
      <c r="K31" s="73">
        <f t="shared" si="0"/>
        <v>2.4247200206101202E-2</v>
      </c>
      <c r="L31" s="48"/>
      <c r="M31" s="194"/>
    </row>
    <row r="32" spans="1:16" ht="18">
      <c r="A32" s="102">
        <v>30</v>
      </c>
      <c r="B32" s="313" t="s">
        <v>151</v>
      </c>
      <c r="C32" s="314"/>
      <c r="D32" s="314"/>
      <c r="E32" s="314"/>
      <c r="F32" s="315"/>
      <c r="G32" s="210">
        <v>155</v>
      </c>
      <c r="H32" s="331" t="s">
        <v>157</v>
      </c>
      <c r="I32" s="332"/>
      <c r="J32" s="333"/>
      <c r="K32" s="73">
        <f t="shared" si="0"/>
        <v>0.1174473759983027</v>
      </c>
      <c r="L32" s="48"/>
      <c r="M32" s="194"/>
    </row>
    <row r="33" spans="1:24" ht="18">
      <c r="A33" s="102">
        <v>31</v>
      </c>
      <c r="B33" s="313" t="s">
        <v>152</v>
      </c>
      <c r="C33" s="314"/>
      <c r="D33" s="314"/>
      <c r="E33" s="314"/>
      <c r="F33" s="315"/>
      <c r="G33" s="210">
        <v>200</v>
      </c>
      <c r="H33" s="331" t="s">
        <v>157</v>
      </c>
      <c r="I33" s="332"/>
      <c r="J33" s="333"/>
      <c r="K33" s="73">
        <f t="shared" si="0"/>
        <v>0.1515450012881325</v>
      </c>
      <c r="L33" s="48"/>
      <c r="M33" s="194"/>
    </row>
    <row r="34" spans="1:24" ht="18">
      <c r="A34" s="102">
        <v>32</v>
      </c>
      <c r="B34" s="313" t="s">
        <v>153</v>
      </c>
      <c r="C34" s="314"/>
      <c r="D34" s="314"/>
      <c r="E34" s="314"/>
      <c r="F34" s="315"/>
      <c r="G34" s="210">
        <v>25.74</v>
      </c>
      <c r="H34" s="331" t="s">
        <v>157</v>
      </c>
      <c r="I34" s="332"/>
      <c r="J34" s="333"/>
      <c r="K34" s="73">
        <f t="shared" si="0"/>
        <v>1.9503841665782652E-2</v>
      </c>
      <c r="L34" s="48"/>
      <c r="M34" s="194"/>
    </row>
    <row r="35" spans="1:24" ht="18">
      <c r="A35" s="102">
        <v>33</v>
      </c>
      <c r="B35" s="313" t="s">
        <v>313</v>
      </c>
      <c r="C35" s="314"/>
      <c r="D35" s="314"/>
      <c r="E35" s="314"/>
      <c r="F35" s="315"/>
      <c r="G35" s="210">
        <v>130</v>
      </c>
      <c r="H35" s="331" t="s">
        <v>157</v>
      </c>
      <c r="I35" s="332"/>
      <c r="J35" s="333"/>
      <c r="K35" s="73">
        <f t="shared" si="0"/>
        <v>9.8504250837286131E-2</v>
      </c>
      <c r="L35" s="48"/>
    </row>
    <row r="36" spans="1:24" ht="18">
      <c r="A36" s="102">
        <v>34</v>
      </c>
      <c r="B36" s="313" t="s">
        <v>72</v>
      </c>
      <c r="C36" s="314"/>
      <c r="D36" s="314"/>
      <c r="E36" s="314"/>
      <c r="F36" s="315"/>
      <c r="G36" s="210">
        <v>50</v>
      </c>
      <c r="H36" s="331" t="s">
        <v>157</v>
      </c>
      <c r="I36" s="332"/>
      <c r="J36" s="333"/>
      <c r="K36" s="73">
        <f t="shared" si="0"/>
        <v>3.7886250322033126E-2</v>
      </c>
      <c r="L36" s="48"/>
    </row>
    <row r="37" spans="1:24" ht="18">
      <c r="A37" s="102">
        <v>35</v>
      </c>
      <c r="B37" s="313" t="s">
        <v>154</v>
      </c>
      <c r="C37" s="314"/>
      <c r="D37" s="314"/>
      <c r="E37" s="314"/>
      <c r="F37" s="315"/>
      <c r="G37" s="210">
        <v>17</v>
      </c>
      <c r="H37" s="331" t="s">
        <v>157</v>
      </c>
      <c r="I37" s="332"/>
      <c r="J37" s="333"/>
      <c r="K37" s="73">
        <f t="shared" si="0"/>
        <v>1.2881325109491264E-2</v>
      </c>
      <c r="L37" s="48"/>
    </row>
    <row r="38" spans="1:24" ht="18.75" thickBot="1">
      <c r="A38" s="103">
        <v>36</v>
      </c>
      <c r="B38" s="322" t="s">
        <v>158</v>
      </c>
      <c r="C38" s="323"/>
      <c r="D38" s="323"/>
      <c r="E38" s="323"/>
      <c r="F38" s="324"/>
      <c r="G38" s="307">
        <f>SUM(G28:G37)</f>
        <v>1319.74</v>
      </c>
      <c r="H38" s="337" t="s">
        <v>157</v>
      </c>
      <c r="I38" s="338"/>
      <c r="J38" s="339"/>
      <c r="K38" s="308">
        <f>SUM(K28:K37)</f>
        <v>0.99999999999999989</v>
      </c>
      <c r="L38" s="48"/>
    </row>
    <row r="39" spans="1:24" ht="18.75" thickTop="1">
      <c r="A39" s="102">
        <v>37</v>
      </c>
      <c r="B39" s="328" t="s">
        <v>159</v>
      </c>
      <c r="C39" s="329"/>
      <c r="D39" s="329"/>
      <c r="E39" s="329"/>
      <c r="F39" s="330"/>
      <c r="G39" s="20">
        <v>610</v>
      </c>
      <c r="H39" s="328" t="s">
        <v>175</v>
      </c>
      <c r="I39" s="329"/>
      <c r="J39" s="329"/>
      <c r="K39" s="330"/>
      <c r="L39" s="1"/>
    </row>
    <row r="40" spans="1:24" ht="18">
      <c r="A40" s="102">
        <v>38</v>
      </c>
      <c r="B40" s="309" t="s">
        <v>160</v>
      </c>
      <c r="C40" s="310"/>
      <c r="D40" s="310"/>
      <c r="E40" s="310"/>
      <c r="F40" s="311"/>
      <c r="G40" s="107">
        <v>400</v>
      </c>
      <c r="H40" s="309" t="s">
        <v>176</v>
      </c>
      <c r="I40" s="310"/>
      <c r="J40" s="310"/>
      <c r="K40" s="311"/>
      <c r="L40" s="1"/>
    </row>
    <row r="41" spans="1:24" ht="18">
      <c r="A41" s="102">
        <v>39</v>
      </c>
      <c r="B41" s="309" t="s">
        <v>161</v>
      </c>
      <c r="C41" s="310"/>
      <c r="D41" s="310"/>
      <c r="E41" s="310"/>
      <c r="F41" s="311"/>
      <c r="G41" s="108">
        <v>530</v>
      </c>
      <c r="H41" s="309" t="s">
        <v>175</v>
      </c>
      <c r="I41" s="312"/>
      <c r="J41" s="312"/>
      <c r="K41" s="311"/>
      <c r="L41" s="1"/>
      <c r="O41" s="194"/>
      <c r="X41" s="194"/>
    </row>
    <row r="42" spans="1:24" ht="18">
      <c r="A42" s="102">
        <v>40</v>
      </c>
      <c r="B42" s="309" t="s">
        <v>162</v>
      </c>
      <c r="C42" s="310"/>
      <c r="D42" s="310"/>
      <c r="E42" s="310"/>
      <c r="F42" s="311"/>
      <c r="G42" s="108">
        <v>223000</v>
      </c>
      <c r="H42" s="309" t="s">
        <v>83</v>
      </c>
      <c r="I42" s="312"/>
      <c r="J42" s="312"/>
      <c r="K42" s="311"/>
      <c r="L42" s="1"/>
    </row>
    <row r="43" spans="1:24" ht="18">
      <c r="A43" s="102">
        <v>41</v>
      </c>
      <c r="B43" s="313" t="s">
        <v>163</v>
      </c>
      <c r="C43" s="314"/>
      <c r="D43" s="314"/>
      <c r="E43" s="314"/>
      <c r="F43" s="315"/>
      <c r="G43" s="109">
        <v>1.4999999999999999E-2</v>
      </c>
      <c r="H43" s="309" t="s">
        <v>38</v>
      </c>
      <c r="I43" s="312"/>
      <c r="J43" s="312"/>
      <c r="K43" s="311"/>
      <c r="L43" s="1"/>
    </row>
    <row r="44" spans="1:24" ht="18">
      <c r="A44" s="102">
        <v>42</v>
      </c>
      <c r="B44" s="313" t="s">
        <v>164</v>
      </c>
      <c r="C44" s="314"/>
      <c r="D44" s="314"/>
      <c r="E44" s="314"/>
      <c r="F44" s="315"/>
      <c r="G44" s="110" t="s">
        <v>109</v>
      </c>
      <c r="H44" s="309" t="s">
        <v>177</v>
      </c>
      <c r="I44" s="312"/>
      <c r="J44" s="312"/>
      <c r="K44" s="311"/>
      <c r="L44" s="1"/>
    </row>
    <row r="45" spans="1:24" ht="18">
      <c r="A45" s="102">
        <v>43</v>
      </c>
      <c r="B45" s="313" t="s">
        <v>306</v>
      </c>
      <c r="C45" s="314"/>
      <c r="D45" s="314"/>
      <c r="E45" s="314"/>
      <c r="F45" s="315"/>
      <c r="G45" s="110" t="s">
        <v>109</v>
      </c>
      <c r="H45" s="309" t="s">
        <v>82</v>
      </c>
      <c r="I45" s="312"/>
      <c r="J45" s="312"/>
      <c r="K45" s="311"/>
      <c r="L45" s="1"/>
    </row>
    <row r="46" spans="1:24" ht="18">
      <c r="A46" s="102">
        <v>44</v>
      </c>
      <c r="B46" s="313" t="s">
        <v>165</v>
      </c>
      <c r="C46" s="314"/>
      <c r="D46" s="314"/>
      <c r="E46" s="314"/>
      <c r="F46" s="315"/>
      <c r="G46" s="110" t="s">
        <v>109</v>
      </c>
      <c r="H46" s="309" t="s">
        <v>82</v>
      </c>
      <c r="I46" s="312"/>
      <c r="J46" s="312"/>
      <c r="K46" s="311"/>
      <c r="L46" s="1"/>
    </row>
    <row r="47" spans="1:24" ht="18">
      <c r="A47" s="102">
        <v>45</v>
      </c>
      <c r="B47" s="313" t="s">
        <v>166</v>
      </c>
      <c r="C47" s="314"/>
      <c r="D47" s="314"/>
      <c r="E47" s="314"/>
      <c r="F47" s="315"/>
      <c r="G47" s="110" t="s">
        <v>109</v>
      </c>
      <c r="H47" s="309" t="s">
        <v>178</v>
      </c>
      <c r="I47" s="312"/>
      <c r="J47" s="312"/>
      <c r="K47" s="311"/>
      <c r="L47" s="1"/>
    </row>
    <row r="48" spans="1:24" ht="18">
      <c r="A48" s="102">
        <v>46</v>
      </c>
      <c r="B48" s="313" t="s">
        <v>167</v>
      </c>
      <c r="C48" s="314"/>
      <c r="D48" s="314"/>
      <c r="E48" s="314"/>
      <c r="F48" s="315"/>
      <c r="G48" s="109">
        <v>0</v>
      </c>
      <c r="H48" s="309" t="s">
        <v>38</v>
      </c>
      <c r="I48" s="312"/>
      <c r="J48" s="312"/>
      <c r="K48" s="311"/>
      <c r="L48" s="1"/>
    </row>
    <row r="49" spans="1:12" ht="18">
      <c r="A49" s="102">
        <v>47</v>
      </c>
      <c r="B49" s="313" t="s">
        <v>168</v>
      </c>
      <c r="C49" s="314"/>
      <c r="D49" s="314"/>
      <c r="E49" s="314"/>
      <c r="F49" s="315"/>
      <c r="G49" s="110">
        <v>4</v>
      </c>
      <c r="H49" s="309" t="s">
        <v>179</v>
      </c>
      <c r="I49" s="312"/>
      <c r="J49" s="312"/>
      <c r="K49" s="311"/>
      <c r="L49" s="1"/>
    </row>
    <row r="50" spans="1:12" ht="18">
      <c r="A50" s="102">
        <v>48</v>
      </c>
      <c r="B50" s="313" t="s">
        <v>169</v>
      </c>
      <c r="C50" s="314"/>
      <c r="D50" s="314"/>
      <c r="E50" s="314"/>
      <c r="F50" s="315"/>
      <c r="G50" s="110">
        <v>4</v>
      </c>
      <c r="H50" s="309" t="s">
        <v>137</v>
      </c>
      <c r="I50" s="312"/>
      <c r="J50" s="312"/>
      <c r="K50" s="311"/>
      <c r="L50" s="1"/>
    </row>
    <row r="51" spans="1:12" ht="18">
      <c r="A51" s="102">
        <v>49</v>
      </c>
      <c r="B51" s="313" t="s">
        <v>234</v>
      </c>
      <c r="C51" s="314"/>
      <c r="D51" s="314"/>
      <c r="E51" s="314"/>
      <c r="F51" s="315"/>
      <c r="G51" s="110">
        <v>30</v>
      </c>
      <c r="H51" s="309" t="s">
        <v>141</v>
      </c>
      <c r="I51" s="312"/>
      <c r="J51" s="312"/>
      <c r="K51" s="311"/>
      <c r="L51" s="1"/>
    </row>
    <row r="52" spans="1:12" ht="18">
      <c r="A52" s="102">
        <v>50</v>
      </c>
      <c r="B52" s="313" t="s">
        <v>170</v>
      </c>
      <c r="C52" s="314"/>
      <c r="D52" s="314"/>
      <c r="E52" s="314"/>
      <c r="F52" s="315"/>
      <c r="G52" s="109">
        <v>0.02</v>
      </c>
      <c r="H52" s="309" t="s">
        <v>180</v>
      </c>
      <c r="I52" s="310"/>
      <c r="J52" s="310"/>
      <c r="K52" s="311"/>
      <c r="L52" s="1"/>
    </row>
    <row r="53" spans="1:12" ht="18">
      <c r="A53" s="102">
        <v>51</v>
      </c>
      <c r="B53" s="313" t="s">
        <v>171</v>
      </c>
      <c r="C53" s="314"/>
      <c r="D53" s="314"/>
      <c r="E53" s="314"/>
      <c r="F53" s="315"/>
      <c r="G53" s="109">
        <v>0.02</v>
      </c>
      <c r="H53" s="312" t="s">
        <v>180</v>
      </c>
      <c r="I53" s="312"/>
      <c r="J53" s="312"/>
      <c r="K53" s="68"/>
      <c r="L53" s="1"/>
    </row>
    <row r="54" spans="1:12" ht="18">
      <c r="A54" s="102">
        <v>52</v>
      </c>
      <c r="B54" s="313" t="s">
        <v>172</v>
      </c>
      <c r="C54" s="314"/>
      <c r="D54" s="314"/>
      <c r="E54" s="314"/>
      <c r="F54" s="315"/>
      <c r="G54" s="109">
        <v>1.4999999999999999E-2</v>
      </c>
      <c r="H54" s="312" t="s">
        <v>180</v>
      </c>
      <c r="I54" s="312"/>
      <c r="J54" s="312"/>
      <c r="K54" s="68"/>
      <c r="L54" s="1"/>
    </row>
    <row r="55" spans="1:12" ht="18">
      <c r="A55" s="102">
        <v>53</v>
      </c>
      <c r="B55" s="313" t="s">
        <v>173</v>
      </c>
      <c r="C55" s="314"/>
      <c r="D55" s="314"/>
      <c r="E55" s="314"/>
      <c r="F55" s="315"/>
      <c r="G55" s="110">
        <v>2872</v>
      </c>
      <c r="H55" s="309" t="s">
        <v>181</v>
      </c>
      <c r="I55" s="312"/>
      <c r="J55" s="312"/>
      <c r="K55" s="311"/>
      <c r="L55" s="1"/>
    </row>
    <row r="56" spans="1:12" ht="18.75" thickBot="1">
      <c r="A56" s="103">
        <v>54</v>
      </c>
      <c r="B56" s="316" t="s">
        <v>174</v>
      </c>
      <c r="C56" s="317"/>
      <c r="D56" s="317"/>
      <c r="E56" s="317"/>
      <c r="F56" s="318"/>
      <c r="G56" s="111">
        <v>247</v>
      </c>
      <c r="H56" s="319" t="s">
        <v>181</v>
      </c>
      <c r="I56" s="320"/>
      <c r="J56" s="320"/>
      <c r="K56" s="321"/>
      <c r="L56" s="1"/>
    </row>
    <row r="57" spans="1:12" ht="15.75" thickTop="1">
      <c r="A57" s="32"/>
      <c r="B57" s="32"/>
    </row>
    <row r="58" spans="1:12">
      <c r="A58" s="32"/>
      <c r="B58" s="32"/>
    </row>
    <row r="59" spans="1:12">
      <c r="B59" s="32"/>
    </row>
    <row r="60" spans="1:12">
      <c r="B60" s="32"/>
    </row>
    <row r="61" spans="1:12">
      <c r="B61" s="32"/>
    </row>
    <row r="62" spans="1:12">
      <c r="B62" s="32"/>
    </row>
    <row r="63" spans="1:12">
      <c r="B63" s="32"/>
    </row>
    <row r="64" spans="1:12">
      <c r="B64" s="32"/>
    </row>
    <row r="65" spans="2:2">
      <c r="B65" s="32"/>
    </row>
    <row r="66" spans="2:2">
      <c r="B66" s="32"/>
    </row>
    <row r="67" spans="2:2">
      <c r="B67" s="32"/>
    </row>
    <row r="68" spans="2:2">
      <c r="B68" s="32"/>
    </row>
    <row r="69" spans="2:2">
      <c r="B69" s="32"/>
    </row>
    <row r="70" spans="2:2">
      <c r="B70" s="32"/>
    </row>
    <row r="71" spans="2:2">
      <c r="B71" s="32"/>
    </row>
    <row r="72" spans="2:2">
      <c r="B72" s="32"/>
    </row>
    <row r="73" spans="2:2">
      <c r="B73" s="32"/>
    </row>
    <row r="74" spans="2:2">
      <c r="B74" s="32"/>
    </row>
    <row r="75" spans="2:2">
      <c r="B75" s="32"/>
    </row>
    <row r="76" spans="2:2">
      <c r="B76" s="32"/>
    </row>
    <row r="77" spans="2:2">
      <c r="B77" s="32"/>
    </row>
    <row r="78" spans="2:2">
      <c r="B78" s="32"/>
    </row>
    <row r="79" spans="2:2">
      <c r="B79" s="32"/>
    </row>
    <row r="80" spans="2:2">
      <c r="B80" s="32"/>
    </row>
    <row r="81" spans="2:2">
      <c r="B81" s="32"/>
    </row>
    <row r="82" spans="2:2">
      <c r="B82" s="32"/>
    </row>
    <row r="83" spans="2:2">
      <c r="B83" s="32"/>
    </row>
    <row r="84" spans="2:2">
      <c r="B84" s="32"/>
    </row>
    <row r="85" spans="2:2">
      <c r="B85" s="32"/>
    </row>
    <row r="86" spans="2:2">
      <c r="B86" s="32"/>
    </row>
    <row r="87" spans="2:2">
      <c r="B87" s="32"/>
    </row>
    <row r="88" spans="2:2">
      <c r="B88" s="32"/>
    </row>
    <row r="89" spans="2:2">
      <c r="B89" s="32"/>
    </row>
    <row r="90" spans="2:2">
      <c r="B90" s="32"/>
    </row>
    <row r="91" spans="2:2">
      <c r="B91" s="32"/>
    </row>
    <row r="92" spans="2:2">
      <c r="B92" s="32"/>
    </row>
    <row r="93" spans="2:2">
      <c r="B93" s="32"/>
    </row>
    <row r="94" spans="2:2">
      <c r="B94" s="32"/>
    </row>
    <row r="95" spans="2:2">
      <c r="B95" s="32"/>
    </row>
    <row r="96" spans="2:2">
      <c r="B96" s="32"/>
    </row>
    <row r="97" spans="2:2">
      <c r="B97" s="32"/>
    </row>
    <row r="98" spans="2:2">
      <c r="B98" s="32"/>
    </row>
    <row r="99" spans="2:2">
      <c r="B99" s="32"/>
    </row>
    <row r="100" spans="2:2">
      <c r="B100" s="32"/>
    </row>
    <row r="101" spans="2:2">
      <c r="B101" s="32"/>
    </row>
    <row r="102" spans="2:2">
      <c r="B102" s="32"/>
    </row>
    <row r="103" spans="2:2">
      <c r="B103" s="32"/>
    </row>
    <row r="104" spans="2:2">
      <c r="B104" s="32"/>
    </row>
    <row r="105" spans="2:2">
      <c r="B105" s="32"/>
    </row>
    <row r="106" spans="2:2">
      <c r="B106" s="32"/>
    </row>
    <row r="107" spans="2:2">
      <c r="B107" s="32"/>
    </row>
    <row r="108" spans="2:2">
      <c r="B108" s="32"/>
    </row>
    <row r="109" spans="2:2">
      <c r="B109" s="32"/>
    </row>
    <row r="110" spans="2:2">
      <c r="B110" s="32"/>
    </row>
    <row r="111" spans="2:2">
      <c r="B111" s="32"/>
    </row>
  </sheetData>
  <mergeCells count="92">
    <mergeCell ref="B8:F8"/>
    <mergeCell ref="B3:F3"/>
    <mergeCell ref="B4:F4"/>
    <mergeCell ref="B5:F5"/>
    <mergeCell ref="B6:F6"/>
    <mergeCell ref="B7:F7"/>
    <mergeCell ref="B17:F17"/>
    <mergeCell ref="B18:F18"/>
    <mergeCell ref="B19:F19"/>
    <mergeCell ref="B20:F20"/>
    <mergeCell ref="B9:F9"/>
    <mergeCell ref="B10:F10"/>
    <mergeCell ref="B11:F11"/>
    <mergeCell ref="B12:F12"/>
    <mergeCell ref="B13:F13"/>
    <mergeCell ref="B14:F14"/>
    <mergeCell ref="A2:K2"/>
    <mergeCell ref="A25:K25"/>
    <mergeCell ref="A26:K26"/>
    <mergeCell ref="H6:J6"/>
    <mergeCell ref="H16:K16"/>
    <mergeCell ref="H17:K17"/>
    <mergeCell ref="H18:K18"/>
    <mergeCell ref="B21:F21"/>
    <mergeCell ref="B22:F22"/>
    <mergeCell ref="B23:B24"/>
    <mergeCell ref="C23:D23"/>
    <mergeCell ref="C24:D24"/>
    <mergeCell ref="E23:F23"/>
    <mergeCell ref="E24:F24"/>
    <mergeCell ref="B15:F15"/>
    <mergeCell ref="B16:F16"/>
    <mergeCell ref="B40:F40"/>
    <mergeCell ref="H39:K39"/>
    <mergeCell ref="H40:K40"/>
    <mergeCell ref="H38:J38"/>
    <mergeCell ref="B27:F27"/>
    <mergeCell ref="B28:F28"/>
    <mergeCell ref="B29:F29"/>
    <mergeCell ref="B30:F30"/>
    <mergeCell ref="B31:F31"/>
    <mergeCell ref="B32:F32"/>
    <mergeCell ref="B33:F33"/>
    <mergeCell ref="B34:F34"/>
    <mergeCell ref="H32:J32"/>
    <mergeCell ref="H33:J33"/>
    <mergeCell ref="H34:J34"/>
    <mergeCell ref="H35:J35"/>
    <mergeCell ref="B36:F36"/>
    <mergeCell ref="B37:F37"/>
    <mergeCell ref="B38:F38"/>
    <mergeCell ref="H27:J27"/>
    <mergeCell ref="B39:F39"/>
    <mergeCell ref="H36:J36"/>
    <mergeCell ref="H37:J37"/>
    <mergeCell ref="H28:J28"/>
    <mergeCell ref="H29:J29"/>
    <mergeCell ref="H30:J30"/>
    <mergeCell ref="H31:J31"/>
    <mergeCell ref="B35:F35"/>
    <mergeCell ref="B52:F52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3:F53"/>
    <mergeCell ref="B54:F54"/>
    <mergeCell ref="B55:F55"/>
    <mergeCell ref="B56:F56"/>
    <mergeCell ref="H53:J53"/>
    <mergeCell ref="H54:J54"/>
    <mergeCell ref="H55:K55"/>
    <mergeCell ref="H56:K56"/>
    <mergeCell ref="H52:K52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50:K50"/>
    <mergeCell ref="H51:K51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rightToLeft="1" zoomScale="85" zoomScaleNormal="85" workbookViewId="0">
      <selection activeCell="E15" sqref="E15:H15"/>
    </sheetView>
  </sheetViews>
  <sheetFormatPr defaultRowHeight="15"/>
  <cols>
    <col min="9" max="10" width="14.42578125" bestFit="1" customWidth="1"/>
  </cols>
  <sheetData>
    <row r="1" spans="2:14" ht="21.75" thickBot="1">
      <c r="B1" s="1"/>
      <c r="C1" s="1"/>
      <c r="D1" s="1"/>
      <c r="E1" s="623" t="s">
        <v>86</v>
      </c>
      <c r="F1" s="623"/>
      <c r="G1" s="623"/>
      <c r="H1" s="623"/>
      <c r="I1" s="623"/>
      <c r="J1" s="623"/>
      <c r="K1" s="86"/>
      <c r="L1" s="1"/>
      <c r="M1" s="1"/>
      <c r="N1" s="1"/>
    </row>
    <row r="2" spans="2:14" ht="21" thickTop="1" thickBot="1">
      <c r="B2" s="1"/>
      <c r="C2" s="1"/>
      <c r="D2" s="1"/>
      <c r="E2" s="630" t="s">
        <v>79</v>
      </c>
      <c r="F2" s="631"/>
      <c r="G2" s="631"/>
      <c r="H2" s="632"/>
      <c r="I2" s="87" t="s">
        <v>75</v>
      </c>
      <c r="J2" s="88" t="s">
        <v>78</v>
      </c>
      <c r="K2" s="70"/>
      <c r="L2" s="1"/>
      <c r="M2" s="1"/>
      <c r="N2" s="1"/>
    </row>
    <row r="3" spans="2:14" ht="19.5" thickTop="1" thickBot="1">
      <c r="B3" s="1"/>
      <c r="C3" s="1"/>
      <c r="D3" s="44"/>
      <c r="E3" s="624" t="s">
        <v>87</v>
      </c>
      <c r="F3" s="625"/>
      <c r="G3" s="625"/>
      <c r="H3" s="626"/>
      <c r="I3" s="74">
        <v>0</v>
      </c>
      <c r="J3" s="72">
        <f>I3/$I$20</f>
        <v>0</v>
      </c>
      <c r="L3" s="1"/>
      <c r="M3" s="1"/>
      <c r="N3" s="1"/>
    </row>
    <row r="4" spans="2:14" ht="19.5" thickTop="1" thickBot="1">
      <c r="B4" s="1"/>
      <c r="C4" s="1"/>
      <c r="D4" s="44"/>
      <c r="E4" s="627" t="s">
        <v>88</v>
      </c>
      <c r="F4" s="310" t="s">
        <v>89</v>
      </c>
      <c r="G4" s="310"/>
      <c r="H4" s="311"/>
      <c r="I4" s="75">
        <v>0</v>
      </c>
      <c r="J4" s="72">
        <f t="shared" ref="J4:J19" si="0">I4/$I$20</f>
        <v>0</v>
      </c>
      <c r="L4" s="1"/>
      <c r="M4" s="1"/>
      <c r="N4" s="1"/>
    </row>
    <row r="5" spans="2:14" ht="19.5" thickTop="1" thickBot="1">
      <c r="B5" s="1"/>
      <c r="C5" s="1"/>
      <c r="D5" s="44"/>
      <c r="E5" s="633"/>
      <c r="F5" s="310" t="s">
        <v>90</v>
      </c>
      <c r="G5" s="310"/>
      <c r="H5" s="311"/>
      <c r="I5" s="75">
        <v>0</v>
      </c>
      <c r="J5" s="72">
        <f t="shared" si="0"/>
        <v>0</v>
      </c>
      <c r="L5" s="1"/>
      <c r="M5" s="1"/>
      <c r="N5" s="1"/>
    </row>
    <row r="6" spans="2:14" ht="19.5" thickTop="1" thickBot="1">
      <c r="B6" s="1"/>
      <c r="C6" s="1"/>
      <c r="D6" s="44"/>
      <c r="E6" s="634"/>
      <c r="F6" s="618" t="s">
        <v>91</v>
      </c>
      <c r="G6" s="618"/>
      <c r="H6" s="619"/>
      <c r="I6" s="76">
        <f>'تعرفه برق'!F16</f>
        <v>18121155000</v>
      </c>
      <c r="J6" s="72">
        <f t="shared" si="0"/>
        <v>3.8585286722888516E-2</v>
      </c>
      <c r="L6" s="1"/>
      <c r="M6" s="1"/>
      <c r="N6" s="1"/>
    </row>
    <row r="7" spans="2:14" ht="19.5" thickTop="1" thickBot="1">
      <c r="B7" s="1"/>
      <c r="C7" s="1"/>
      <c r="D7" s="44"/>
      <c r="E7" s="82" t="s">
        <v>92</v>
      </c>
      <c r="F7" s="83"/>
      <c r="G7" s="83"/>
      <c r="H7" s="84"/>
      <c r="I7" s="77">
        <f>'هزینه نیروی انسانی'!E19</f>
        <v>27941720000</v>
      </c>
      <c r="J7" s="72">
        <f t="shared" si="0"/>
        <v>5.9496167751485404E-2</v>
      </c>
      <c r="L7" s="1"/>
      <c r="M7" s="1"/>
      <c r="N7" s="1"/>
    </row>
    <row r="8" spans="2:14" ht="19.5" thickTop="1" thickBot="1">
      <c r="B8" s="1"/>
      <c r="C8" s="1"/>
      <c r="D8" s="16"/>
      <c r="E8" s="82" t="s">
        <v>93</v>
      </c>
      <c r="F8" s="83"/>
      <c r="G8" s="83"/>
      <c r="H8" s="84"/>
      <c r="I8" s="77">
        <f>'هزینه مواد شیمیایی و شستشو'!I28</f>
        <v>27004783179</v>
      </c>
      <c r="J8" s="72">
        <f t="shared" si="0"/>
        <v>5.750115276046984E-2</v>
      </c>
      <c r="K8" s="4"/>
      <c r="L8" s="1"/>
      <c r="M8" s="1"/>
      <c r="N8" s="1"/>
    </row>
    <row r="9" spans="2:14" ht="19.5" thickTop="1" thickBot="1">
      <c r="B9" s="1"/>
      <c r="C9" s="1"/>
      <c r="D9" s="44"/>
      <c r="E9" s="344" t="s">
        <v>94</v>
      </c>
      <c r="F9" s="345"/>
      <c r="G9" s="345"/>
      <c r="H9" s="346"/>
      <c r="I9" s="77">
        <f>SUM('هزینه مواد مصرفی و قطعات یدکی'!J4:J6)</f>
        <v>19066468500</v>
      </c>
      <c r="J9" s="72">
        <f t="shared" si="0"/>
        <v>4.0598138135533972E-2</v>
      </c>
      <c r="L9" s="1"/>
      <c r="M9" s="1"/>
      <c r="N9" s="1"/>
    </row>
    <row r="10" spans="2:14" ht="19.5" thickTop="1" thickBot="1">
      <c r="B10" s="1"/>
      <c r="C10" s="1"/>
      <c r="D10" s="44"/>
      <c r="E10" s="344" t="s">
        <v>95</v>
      </c>
      <c r="F10" s="345"/>
      <c r="G10" s="345"/>
      <c r="H10" s="346"/>
      <c r="I10" s="302">
        <f>'هزینه مواد مصرفی و قطعات یدکی'!J7</f>
        <v>17188004750</v>
      </c>
      <c r="J10" s="72">
        <f t="shared" si="0"/>
        <v>3.659833445898563E-2</v>
      </c>
      <c r="L10" s="1"/>
      <c r="M10" s="49"/>
      <c r="N10" s="1"/>
    </row>
    <row r="11" spans="2:14" ht="19.5" thickTop="1" thickBot="1">
      <c r="B11" s="1"/>
      <c r="C11" s="1"/>
      <c r="D11" s="16"/>
      <c r="E11" s="344" t="s">
        <v>96</v>
      </c>
      <c r="F11" s="345"/>
      <c r="G11" s="345"/>
      <c r="H11" s="629"/>
      <c r="I11" s="303">
        <f>I10</f>
        <v>17188004750</v>
      </c>
      <c r="J11" s="72">
        <f t="shared" si="0"/>
        <v>3.659833445898563E-2</v>
      </c>
      <c r="K11" s="4"/>
      <c r="L11" s="1"/>
      <c r="M11" s="1"/>
      <c r="N11" s="1"/>
    </row>
    <row r="12" spans="2:14" ht="19.5" thickTop="1" thickBot="1">
      <c r="B12" s="1"/>
      <c r="C12" s="1"/>
      <c r="D12" s="44"/>
      <c r="E12" s="344" t="s">
        <v>97</v>
      </c>
      <c r="F12" s="345"/>
      <c r="G12" s="345"/>
      <c r="H12" s="346"/>
      <c r="I12" s="302">
        <v>960000000</v>
      </c>
      <c r="J12" s="72">
        <f t="shared" si="0"/>
        <v>2.0441233052734759E-3</v>
      </c>
      <c r="L12" s="1"/>
      <c r="M12" s="1"/>
      <c r="N12" s="1"/>
    </row>
    <row r="13" spans="2:14" ht="19.5" thickTop="1" thickBot="1">
      <c r="B13" s="1"/>
      <c r="C13" s="1"/>
      <c r="D13" s="44"/>
      <c r="E13" s="344" t="s">
        <v>98</v>
      </c>
      <c r="F13" s="345"/>
      <c r="G13" s="345"/>
      <c r="H13" s="346"/>
      <c r="I13" s="258">
        <v>0</v>
      </c>
      <c r="J13" s="72">
        <f t="shared" si="0"/>
        <v>0</v>
      </c>
      <c r="L13" s="1"/>
      <c r="M13" s="1"/>
      <c r="N13" s="1"/>
    </row>
    <row r="14" spans="2:14" ht="19.5" thickTop="1" thickBot="1">
      <c r="B14" s="1"/>
      <c r="C14" s="1"/>
      <c r="D14" s="44"/>
      <c r="E14" s="344" t="s">
        <v>99</v>
      </c>
      <c r="F14" s="345"/>
      <c r="G14" s="345"/>
      <c r="H14" s="346"/>
      <c r="I14" s="258">
        <v>0</v>
      </c>
      <c r="J14" s="72">
        <f t="shared" si="0"/>
        <v>0</v>
      </c>
      <c r="L14" s="1"/>
      <c r="M14" s="1"/>
      <c r="N14" s="1"/>
    </row>
    <row r="15" spans="2:14" ht="19.5" thickTop="1" thickBot="1">
      <c r="B15" s="1"/>
      <c r="C15" s="1"/>
      <c r="D15" s="44"/>
      <c r="E15" s="344" t="s">
        <v>100</v>
      </c>
      <c r="F15" s="345"/>
      <c r="G15" s="345"/>
      <c r="H15" s="346"/>
      <c r="I15" s="303">
        <f>'اطلاعات ورودی'!G18*12</f>
        <v>12000000000</v>
      </c>
      <c r="J15" s="72">
        <f t="shared" si="0"/>
        <v>2.5551541315918448E-2</v>
      </c>
      <c r="L15" s="1"/>
      <c r="M15" s="1"/>
      <c r="N15" s="1"/>
    </row>
    <row r="16" spans="2:14" ht="19.5" thickTop="1" thickBot="1">
      <c r="B16" s="1"/>
      <c r="C16" s="1"/>
      <c r="D16" s="44"/>
      <c r="E16" s="344" t="s">
        <v>101</v>
      </c>
      <c r="F16" s="345"/>
      <c r="G16" s="345"/>
      <c r="H16" s="346"/>
      <c r="I16" s="77">
        <f>'استهلاک سرمایه'!K5</f>
        <v>102389828333.33333</v>
      </c>
      <c r="J16" s="72">
        <f t="shared" si="0"/>
        <v>0.21801816074908031</v>
      </c>
      <c r="L16" s="1"/>
      <c r="M16" s="1"/>
      <c r="N16" s="1"/>
    </row>
    <row r="17" spans="2:14" ht="19.5" thickTop="1" thickBot="1">
      <c r="B17" s="1"/>
      <c r="C17" s="1"/>
      <c r="D17" s="44"/>
      <c r="E17" s="310" t="s">
        <v>102</v>
      </c>
      <c r="F17" s="310"/>
      <c r="G17" s="310"/>
      <c r="H17" s="311"/>
      <c r="I17" s="80">
        <v>22597420000</v>
      </c>
      <c r="J17" s="72">
        <f t="shared" si="0"/>
        <v>4.8116575896930157E-2</v>
      </c>
      <c r="L17" s="1"/>
      <c r="M17" s="1"/>
      <c r="N17" s="1"/>
    </row>
    <row r="18" spans="2:14" ht="19.5" thickTop="1" thickBot="1">
      <c r="B18" s="1"/>
      <c r="C18" s="1"/>
      <c r="D18" s="44"/>
      <c r="E18" s="627" t="s">
        <v>103</v>
      </c>
      <c r="F18" s="345" t="s">
        <v>104</v>
      </c>
      <c r="G18" s="345"/>
      <c r="H18" s="346"/>
      <c r="I18" s="77">
        <f>'تسهیلات بانکی'!H16*2</f>
        <v>166420660000</v>
      </c>
      <c r="J18" s="72">
        <f t="shared" si="0"/>
        <v>0.35435869748436805</v>
      </c>
      <c r="L18" s="1"/>
      <c r="M18" s="1"/>
      <c r="N18" s="1"/>
    </row>
    <row r="19" spans="2:14" ht="19.5" thickTop="1" thickBot="1">
      <c r="B19" s="1"/>
      <c r="C19" s="1"/>
      <c r="D19" s="44"/>
      <c r="E19" s="628"/>
      <c r="F19" s="320" t="s">
        <v>105</v>
      </c>
      <c r="G19" s="320"/>
      <c r="H19" s="321"/>
      <c r="I19" s="81">
        <f>'تسهیلات بانکی'!H17*2</f>
        <v>38760943274.445557</v>
      </c>
      <c r="J19" s="72">
        <f t="shared" si="0"/>
        <v>8.2533486960080574E-2</v>
      </c>
      <c r="L19" s="1"/>
      <c r="M19" s="1"/>
      <c r="N19" s="1"/>
    </row>
    <row r="20" spans="2:14" ht="19.5" thickTop="1" thickBot="1">
      <c r="B20" s="1"/>
      <c r="C20" s="1"/>
      <c r="D20" s="1"/>
      <c r="E20" s="620" t="s">
        <v>15</v>
      </c>
      <c r="F20" s="621"/>
      <c r="G20" s="621"/>
      <c r="H20" s="622"/>
      <c r="I20" s="81">
        <f>SUM(I3:I19)</f>
        <v>469638987786.77887</v>
      </c>
      <c r="J20" s="85">
        <f>SUM(J3:J19)</f>
        <v>1.0000000000000002</v>
      </c>
      <c r="K20" s="71"/>
      <c r="L20" s="1"/>
      <c r="M20" s="1"/>
      <c r="N20" s="1"/>
    </row>
    <row r="21" spans="2:14" ht="18.75" thickTop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ht="18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ht="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ht="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ht="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20">
    <mergeCell ref="E14:H14"/>
    <mergeCell ref="E2:H2"/>
    <mergeCell ref="E4:E6"/>
    <mergeCell ref="F4:H4"/>
    <mergeCell ref="F5:H5"/>
    <mergeCell ref="F6:H6"/>
    <mergeCell ref="E20:H20"/>
    <mergeCell ref="F19:H19"/>
    <mergeCell ref="E1:J1"/>
    <mergeCell ref="E15:H15"/>
    <mergeCell ref="E16:H16"/>
    <mergeCell ref="E17:H17"/>
    <mergeCell ref="F18:H18"/>
    <mergeCell ref="E3:H3"/>
    <mergeCell ref="E18:E19"/>
    <mergeCell ref="E9:H9"/>
    <mergeCell ref="E10:H10"/>
    <mergeCell ref="E11:H11"/>
    <mergeCell ref="E12:H12"/>
    <mergeCell ref="E13:H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4"/>
  <sheetViews>
    <sheetView rightToLeft="1" topLeftCell="A4" zoomScale="90" zoomScaleNormal="90" workbookViewId="0">
      <selection activeCell="E15" sqref="E15:H15"/>
    </sheetView>
  </sheetViews>
  <sheetFormatPr defaultRowHeight="15"/>
  <cols>
    <col min="9" max="9" width="12.42578125" bestFit="1" customWidth="1"/>
  </cols>
  <sheetData>
    <row r="1" spans="3:12" ht="21.75" thickBot="1">
      <c r="C1" s="1"/>
      <c r="D1" s="1"/>
      <c r="E1" s="623" t="s">
        <v>106</v>
      </c>
      <c r="F1" s="623"/>
      <c r="G1" s="623"/>
      <c r="H1" s="623"/>
      <c r="I1" s="623"/>
      <c r="J1" s="623"/>
      <c r="K1" s="86"/>
      <c r="L1" s="1"/>
    </row>
    <row r="2" spans="3:12" ht="21" thickTop="1" thickBot="1">
      <c r="C2" s="1"/>
      <c r="D2" s="1"/>
      <c r="E2" s="630" t="s">
        <v>79</v>
      </c>
      <c r="F2" s="631"/>
      <c r="G2" s="631"/>
      <c r="H2" s="632"/>
      <c r="I2" s="87" t="s">
        <v>75</v>
      </c>
      <c r="J2" s="88" t="s">
        <v>78</v>
      </c>
      <c r="K2" s="70"/>
      <c r="L2" s="1"/>
    </row>
    <row r="3" spans="3:12" ht="19.5" thickTop="1" thickBot="1">
      <c r="C3" s="1"/>
      <c r="D3" s="44"/>
      <c r="E3" s="624" t="s">
        <v>87</v>
      </c>
      <c r="F3" s="625"/>
      <c r="G3" s="625"/>
      <c r="H3" s="626"/>
      <c r="I3" s="74">
        <v>0</v>
      </c>
      <c r="J3" s="72">
        <f>I3/$I$20</f>
        <v>0</v>
      </c>
      <c r="L3" s="1"/>
    </row>
    <row r="4" spans="3:12" ht="19.5" thickTop="1" thickBot="1">
      <c r="C4" s="1"/>
      <c r="D4" s="44"/>
      <c r="E4" s="627" t="s">
        <v>88</v>
      </c>
      <c r="F4" s="310" t="s">
        <v>89</v>
      </c>
      <c r="G4" s="310"/>
      <c r="H4" s="311"/>
      <c r="I4" s="75">
        <v>0</v>
      </c>
      <c r="J4" s="72">
        <f t="shared" ref="J4:J17" si="0">I4/$I$20</f>
        <v>0</v>
      </c>
      <c r="L4" s="1"/>
    </row>
    <row r="5" spans="3:12" ht="19.5" thickTop="1" thickBot="1">
      <c r="C5" s="1"/>
      <c r="D5" s="44"/>
      <c r="E5" s="633"/>
      <c r="F5" s="310" t="s">
        <v>90</v>
      </c>
      <c r="G5" s="310"/>
      <c r="H5" s="311"/>
      <c r="I5" s="75">
        <v>0</v>
      </c>
      <c r="J5" s="72">
        <f t="shared" si="0"/>
        <v>0</v>
      </c>
      <c r="L5" s="1"/>
    </row>
    <row r="6" spans="3:12" ht="19.5" thickTop="1" thickBot="1">
      <c r="C6" s="1"/>
      <c r="D6" s="44"/>
      <c r="E6" s="634"/>
      <c r="F6" s="618" t="s">
        <v>91</v>
      </c>
      <c r="G6" s="618"/>
      <c r="H6" s="619"/>
      <c r="I6" s="76">
        <f>'هزینه متغیر در سال اول'!I6/'اطلاعات ورودی'!G6/'اطلاعات ورودی'!G21</f>
        <v>1545.5142857142857</v>
      </c>
      <c r="J6" s="72">
        <f t="shared" si="0"/>
        <v>0.11181235422582413</v>
      </c>
      <c r="L6" s="1"/>
    </row>
    <row r="7" spans="3:12" ht="19.5" thickTop="1" thickBot="1">
      <c r="C7" s="1"/>
      <c r="D7" s="44"/>
      <c r="E7" s="82" t="s">
        <v>92</v>
      </c>
      <c r="F7" s="83"/>
      <c r="G7" s="83"/>
      <c r="H7" s="84"/>
      <c r="I7" s="76">
        <f>'هزینه متغیر در سال اول'!I7/'اطلاعات ورودی'!G6/'اطلاعات ورودی'!G21</f>
        <v>2383.0891257995736</v>
      </c>
      <c r="J7" s="72">
        <f t="shared" si="0"/>
        <v>0.17240785669118741</v>
      </c>
      <c r="L7" s="1"/>
    </row>
    <row r="8" spans="3:12" ht="19.5" thickTop="1" thickBot="1">
      <c r="C8" s="1"/>
      <c r="D8" s="16"/>
      <c r="E8" s="82" t="s">
        <v>93</v>
      </c>
      <c r="F8" s="83"/>
      <c r="G8" s="83"/>
      <c r="H8" s="84"/>
      <c r="I8" s="76">
        <f>'هزینه متغیر در سال اول'!I8/'اطلاعات ورودی'!G6/'اطلاعات ورودی'!G21</f>
        <v>2303.1798020469082</v>
      </c>
      <c r="J8" s="72">
        <f t="shared" si="0"/>
        <v>0.16662670688495984</v>
      </c>
      <c r="K8" s="4"/>
      <c r="L8" s="1"/>
    </row>
    <row r="9" spans="3:12" ht="19.5" thickTop="1" thickBot="1">
      <c r="C9" s="1"/>
      <c r="D9" s="44"/>
      <c r="E9" s="344" t="s">
        <v>94</v>
      </c>
      <c r="F9" s="345"/>
      <c r="G9" s="345"/>
      <c r="H9" s="346"/>
      <c r="I9" s="76">
        <f>'هزینه متغیر در سال اول'!I9/'اطلاعات ورودی'!G6/'اطلاعات ورودی'!G21</f>
        <v>1626.1380383795308</v>
      </c>
      <c r="J9" s="72">
        <f t="shared" si="0"/>
        <v>0.11764519037321393</v>
      </c>
      <c r="L9" s="1"/>
    </row>
    <row r="10" spans="3:12" ht="19.5" thickTop="1" thickBot="1">
      <c r="C10" s="1"/>
      <c r="D10" s="44"/>
      <c r="E10" s="344" t="s">
        <v>95</v>
      </c>
      <c r="F10" s="345"/>
      <c r="G10" s="345"/>
      <c r="H10" s="346"/>
      <c r="I10" s="76">
        <f>'هزینه متغیر در سال اول'!I10/'اطلاعات ورودی'!G6/'اطلاعات ورودی'!G21</f>
        <v>1465.9279104477612</v>
      </c>
      <c r="J10" s="72">
        <f t="shared" si="0"/>
        <v>0.10605456857149269</v>
      </c>
      <c r="L10" s="1"/>
    </row>
    <row r="11" spans="3:12" ht="19.5" thickTop="1" thickBot="1">
      <c r="C11" s="1"/>
      <c r="D11" s="16"/>
      <c r="E11" s="344" t="s">
        <v>96</v>
      </c>
      <c r="F11" s="345"/>
      <c r="G11" s="345"/>
      <c r="H11" s="629"/>
      <c r="I11" s="76">
        <f>'هزینه متغیر در سال اول'!I11/'اطلاعات ورودی'!G6/'اطلاعات ورودی'!G21</f>
        <v>1465.9279104477612</v>
      </c>
      <c r="J11" s="72">
        <f t="shared" si="0"/>
        <v>0.10605456857149269</v>
      </c>
      <c r="K11" s="4"/>
      <c r="L11" s="1"/>
    </row>
    <row r="12" spans="3:12" ht="19.5" thickTop="1" thickBot="1">
      <c r="C12" s="1"/>
      <c r="D12" s="44"/>
      <c r="E12" s="344" t="s">
        <v>97</v>
      </c>
      <c r="F12" s="345"/>
      <c r="G12" s="345"/>
      <c r="H12" s="346"/>
      <c r="I12" s="76">
        <f>'هزینه متغیر در سال اول'!I12/'اطلاعات ورودی'!G6/'اطلاعات ورودی'!G21</f>
        <v>81.876332622601282</v>
      </c>
      <c r="J12" s="72">
        <f t="shared" si="0"/>
        <v>5.9234557651977014E-3</v>
      </c>
      <c r="L12" s="1"/>
    </row>
    <row r="13" spans="3:12" ht="19.5" thickTop="1" thickBot="1">
      <c r="C13" s="1"/>
      <c r="D13" s="44"/>
      <c r="E13" s="344" t="s">
        <v>107</v>
      </c>
      <c r="F13" s="345"/>
      <c r="G13" s="345"/>
      <c r="H13" s="346"/>
      <c r="I13" s="76">
        <v>0</v>
      </c>
      <c r="J13" s="72">
        <f t="shared" si="0"/>
        <v>0</v>
      </c>
      <c r="L13" s="1"/>
    </row>
    <row r="14" spans="3:12" ht="19.5" thickTop="1" thickBot="1">
      <c r="C14" s="1"/>
      <c r="D14" s="44"/>
      <c r="E14" s="344" t="s">
        <v>99</v>
      </c>
      <c r="F14" s="345"/>
      <c r="G14" s="345"/>
      <c r="H14" s="346"/>
      <c r="I14" s="76">
        <v>0</v>
      </c>
      <c r="J14" s="72">
        <f t="shared" si="0"/>
        <v>0</v>
      </c>
      <c r="L14" s="1"/>
    </row>
    <row r="15" spans="3:12" ht="19.5" thickTop="1" thickBot="1">
      <c r="C15" s="1"/>
      <c r="D15" s="44"/>
      <c r="E15" s="344" t="s">
        <v>100</v>
      </c>
      <c r="F15" s="345"/>
      <c r="G15" s="345"/>
      <c r="H15" s="346"/>
      <c r="I15" s="76">
        <f>'هزینه متغیر در سال اول'!I15/'اطلاعات ورودی'!G6/'اطلاعات ورودی'!G21</f>
        <v>1023.4541577825159</v>
      </c>
      <c r="J15" s="72">
        <f t="shared" si="0"/>
        <v>7.404319706497127E-2</v>
      </c>
      <c r="L15" s="1"/>
    </row>
    <row r="16" spans="3:12" ht="19.5" thickTop="1" thickBot="1">
      <c r="C16" s="1"/>
      <c r="D16" s="44"/>
      <c r="E16" s="344" t="s">
        <v>101</v>
      </c>
      <c r="F16" s="345"/>
      <c r="G16" s="345"/>
      <c r="H16" s="346"/>
      <c r="I16" s="76">
        <v>0</v>
      </c>
      <c r="J16" s="72">
        <f t="shared" si="0"/>
        <v>0</v>
      </c>
      <c r="L16" s="1"/>
    </row>
    <row r="17" spans="3:12" ht="18.75" thickTop="1">
      <c r="C17" s="1"/>
      <c r="D17" s="44"/>
      <c r="E17" s="310" t="s">
        <v>102</v>
      </c>
      <c r="F17" s="310"/>
      <c r="G17" s="310"/>
      <c r="H17" s="311"/>
      <c r="I17" s="76">
        <f>'هزینه متغیر در سال اول'!I17/'اطلاعات ورودی'!G6/'اطلاعات ورودی'!G21</f>
        <v>1927.2852878464821</v>
      </c>
      <c r="J17" s="72">
        <f t="shared" si="0"/>
        <v>0.13943210185166027</v>
      </c>
      <c r="L17" s="1"/>
    </row>
    <row r="18" spans="3:12" ht="18">
      <c r="C18" s="1"/>
      <c r="D18" s="44"/>
      <c r="E18" s="637" t="s">
        <v>108</v>
      </c>
      <c r="F18" s="638"/>
      <c r="G18" s="638"/>
      <c r="H18" s="639"/>
      <c r="I18" s="643">
        <v>0</v>
      </c>
      <c r="J18" s="635"/>
      <c r="L18" s="1"/>
    </row>
    <row r="19" spans="3:12" ht="21.75" customHeight="1" thickBot="1">
      <c r="C19" s="1"/>
      <c r="D19" s="44"/>
      <c r="E19" s="640"/>
      <c r="F19" s="641"/>
      <c r="G19" s="641"/>
      <c r="H19" s="642"/>
      <c r="I19" s="644"/>
      <c r="J19" s="636"/>
      <c r="L19" s="1"/>
    </row>
    <row r="20" spans="3:12" ht="19.5" thickTop="1" thickBot="1">
      <c r="C20" s="1"/>
      <c r="D20" s="1"/>
      <c r="E20" s="620" t="s">
        <v>15</v>
      </c>
      <c r="F20" s="621"/>
      <c r="G20" s="621"/>
      <c r="H20" s="622"/>
      <c r="I20" s="91">
        <f>SUM(I3:I19)</f>
        <v>13822.392851087421</v>
      </c>
      <c r="J20" s="85">
        <f>SUM(J3:J19)</f>
        <v>1</v>
      </c>
      <c r="K20" s="71"/>
      <c r="L20" s="1"/>
    </row>
    <row r="21" spans="3:12" ht="18.75" thickTop="1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ht="18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ht="18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ht="18"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20">
    <mergeCell ref="E14:H14"/>
    <mergeCell ref="E20:H20"/>
    <mergeCell ref="E18:H19"/>
    <mergeCell ref="I18:I19"/>
    <mergeCell ref="J18:J19"/>
    <mergeCell ref="E1:J1"/>
    <mergeCell ref="E2:H2"/>
    <mergeCell ref="E3:H3"/>
    <mergeCell ref="E4:E6"/>
    <mergeCell ref="F4:H4"/>
    <mergeCell ref="F5:H5"/>
    <mergeCell ref="F6:H6"/>
    <mergeCell ref="E9:H9"/>
    <mergeCell ref="E10:H10"/>
    <mergeCell ref="E15:H15"/>
    <mergeCell ref="E16:H16"/>
    <mergeCell ref="E17:H17"/>
    <mergeCell ref="E11:H11"/>
    <mergeCell ref="E12:H12"/>
    <mergeCell ref="E13:H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rightToLeft="1" topLeftCell="A4" zoomScale="80" zoomScaleNormal="80" workbookViewId="0">
      <selection activeCell="C21" sqref="C21:E22"/>
    </sheetView>
  </sheetViews>
  <sheetFormatPr defaultColWidth="9" defaultRowHeight="18"/>
  <cols>
    <col min="1" max="5" width="9" style="1"/>
    <col min="6" max="6" width="17.42578125" style="1" customWidth="1"/>
    <col min="7" max="7" width="16.7109375" style="1" customWidth="1"/>
    <col min="8" max="8" width="17.42578125" style="1" customWidth="1"/>
    <col min="9" max="9" width="17.28515625" style="1" customWidth="1"/>
    <col min="10" max="10" width="17.85546875" style="1" customWidth="1"/>
    <col min="11" max="11" width="20.85546875" style="1" customWidth="1"/>
    <col min="12" max="12" width="15.28515625" style="1" customWidth="1"/>
    <col min="13" max="13" width="15.7109375" style="1" customWidth="1"/>
    <col min="14" max="14" width="15.140625" style="1" customWidth="1"/>
    <col min="15" max="15" width="16.28515625" style="1" customWidth="1"/>
    <col min="16" max="16" width="15.85546875" style="1" customWidth="1"/>
    <col min="17" max="17" width="16.42578125" style="1" customWidth="1"/>
    <col min="18" max="18" width="16.7109375" style="1" bestFit="1" customWidth="1"/>
    <col min="19" max="19" width="17.140625" style="1" customWidth="1"/>
    <col min="20" max="20" width="16.42578125" style="1" bestFit="1" customWidth="1"/>
    <col min="21" max="16384" width="9" style="1"/>
  </cols>
  <sheetData>
    <row r="2" spans="2:20" ht="18.75" thickBot="1"/>
    <row r="3" spans="2:20" ht="22.5" thickTop="1" thickBot="1">
      <c r="C3" s="645" t="s">
        <v>214</v>
      </c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7"/>
    </row>
    <row r="4" spans="2:20" ht="20.25" thickTop="1">
      <c r="B4" s="44"/>
      <c r="C4" s="659" t="s">
        <v>215</v>
      </c>
      <c r="D4" s="660"/>
      <c r="E4" s="661"/>
      <c r="F4" s="133">
        <v>1</v>
      </c>
      <c r="G4" s="134">
        <v>2</v>
      </c>
      <c r="H4" s="134">
        <v>3</v>
      </c>
      <c r="I4" s="134">
        <v>4</v>
      </c>
      <c r="J4" s="134">
        <v>5</v>
      </c>
      <c r="K4" s="134">
        <v>6</v>
      </c>
      <c r="L4" s="134">
        <v>7</v>
      </c>
      <c r="M4" s="134">
        <v>8</v>
      </c>
      <c r="N4" s="134">
        <v>9</v>
      </c>
      <c r="O4" s="134">
        <v>10</v>
      </c>
      <c r="P4" s="134">
        <v>11</v>
      </c>
      <c r="Q4" s="134">
        <v>12</v>
      </c>
      <c r="R4" s="134">
        <v>13</v>
      </c>
      <c r="S4" s="134">
        <v>14</v>
      </c>
      <c r="T4" s="135">
        <v>15</v>
      </c>
    </row>
    <row r="5" spans="2:20" ht="19.5">
      <c r="B5" s="44"/>
      <c r="C5" s="651" t="s">
        <v>87</v>
      </c>
      <c r="D5" s="652"/>
      <c r="E5" s="653"/>
      <c r="F5" s="113" t="s">
        <v>109</v>
      </c>
      <c r="G5" s="115" t="s">
        <v>109</v>
      </c>
      <c r="H5" s="115" t="s">
        <v>109</v>
      </c>
      <c r="I5" s="115" t="s">
        <v>109</v>
      </c>
      <c r="J5" s="115" t="s">
        <v>109</v>
      </c>
      <c r="K5" s="115" t="s">
        <v>109</v>
      </c>
      <c r="L5" s="115" t="s">
        <v>109</v>
      </c>
      <c r="M5" s="115" t="s">
        <v>109</v>
      </c>
      <c r="N5" s="115" t="s">
        <v>109</v>
      </c>
      <c r="O5" s="115" t="s">
        <v>109</v>
      </c>
      <c r="P5" s="115" t="s">
        <v>109</v>
      </c>
      <c r="Q5" s="115" t="s">
        <v>109</v>
      </c>
      <c r="R5" s="115" t="s">
        <v>109</v>
      </c>
      <c r="S5" s="115" t="s">
        <v>109</v>
      </c>
      <c r="T5" s="124" t="s">
        <v>109</v>
      </c>
    </row>
    <row r="6" spans="2:20" ht="19.5">
      <c r="B6" s="44"/>
      <c r="C6" s="648" t="s">
        <v>216</v>
      </c>
      <c r="D6" s="649"/>
      <c r="E6" s="650"/>
      <c r="F6" s="113" t="s">
        <v>109</v>
      </c>
      <c r="G6" s="115" t="s">
        <v>109</v>
      </c>
      <c r="H6" s="115" t="s">
        <v>109</v>
      </c>
      <c r="I6" s="115" t="s">
        <v>109</v>
      </c>
      <c r="J6" s="115" t="s">
        <v>109</v>
      </c>
      <c r="K6" s="115" t="s">
        <v>109</v>
      </c>
      <c r="L6" s="115" t="s">
        <v>109</v>
      </c>
      <c r="M6" s="115" t="s">
        <v>109</v>
      </c>
      <c r="N6" s="115" t="s">
        <v>109</v>
      </c>
      <c r="O6" s="115" t="s">
        <v>109</v>
      </c>
      <c r="P6" s="115" t="s">
        <v>109</v>
      </c>
      <c r="Q6" s="115" t="s">
        <v>109</v>
      </c>
      <c r="R6" s="115" t="s">
        <v>109</v>
      </c>
      <c r="S6" s="115" t="s">
        <v>109</v>
      </c>
      <c r="T6" s="124" t="s">
        <v>109</v>
      </c>
    </row>
    <row r="7" spans="2:20" ht="19.5">
      <c r="B7" s="44"/>
      <c r="C7" s="648" t="s">
        <v>217</v>
      </c>
      <c r="D7" s="649"/>
      <c r="E7" s="650"/>
      <c r="F7" s="132"/>
      <c r="G7" s="115"/>
      <c r="H7" s="115" t="s">
        <v>109</v>
      </c>
      <c r="I7" s="115" t="s">
        <v>109</v>
      </c>
      <c r="J7" s="115" t="s">
        <v>109</v>
      </c>
      <c r="K7" s="115" t="s">
        <v>109</v>
      </c>
      <c r="L7" s="115" t="s">
        <v>109</v>
      </c>
      <c r="M7" s="115" t="s">
        <v>109</v>
      </c>
      <c r="N7" s="115" t="s">
        <v>109</v>
      </c>
      <c r="O7" s="115" t="s">
        <v>109</v>
      </c>
      <c r="P7" s="115" t="s">
        <v>109</v>
      </c>
      <c r="Q7" s="115" t="s">
        <v>109</v>
      </c>
      <c r="R7" s="115" t="s">
        <v>109</v>
      </c>
      <c r="S7" s="115" t="s">
        <v>109</v>
      </c>
      <c r="T7" s="124" t="s">
        <v>109</v>
      </c>
    </row>
    <row r="8" spans="2:20" ht="14.25" customHeight="1">
      <c r="B8" s="44"/>
      <c r="C8" s="648" t="s">
        <v>218</v>
      </c>
      <c r="D8" s="649"/>
      <c r="E8" s="650"/>
      <c r="F8" s="131">
        <f>'تعرفه برق'!F16:G16</f>
        <v>18121155000</v>
      </c>
      <c r="G8" s="130">
        <f>F8*(1+'اطلاعات ورودی'!$G$22/100)</f>
        <v>20839328250</v>
      </c>
      <c r="H8" s="130">
        <f>G8*(1+'اطلاعات ورودی'!$G$22/100)</f>
        <v>23965227487.5</v>
      </c>
      <c r="I8" s="130">
        <f>H8*(1+'اطلاعات ورودی'!$G$22/100)</f>
        <v>27560011610.624996</v>
      </c>
      <c r="J8" s="130">
        <f>I8*(1+'اطلاعات ورودی'!$G$22/100)</f>
        <v>31694013352.218742</v>
      </c>
      <c r="K8" s="130">
        <f>J8*(1+'اطلاعات ورودی'!$G$22/100)</f>
        <v>36448115355.051552</v>
      </c>
      <c r="L8" s="130">
        <f>K8*(1+'اطلاعات ورودی'!$G$22/100)</f>
        <v>41915332658.30928</v>
      </c>
      <c r="M8" s="130">
        <f>L8*(1+'اطلاعات ورودی'!$G$22/100)</f>
        <v>48202632557.055672</v>
      </c>
      <c r="N8" s="130">
        <f>M8*(1+'اطلاعات ورودی'!$G$22/100)</f>
        <v>55433027440.614021</v>
      </c>
      <c r="O8" s="130">
        <f>N8*(1+'اطلاعات ورودی'!$G$22/100)</f>
        <v>63747981556.706123</v>
      </c>
      <c r="P8" s="130">
        <f>O8*(1+'اطلاعات ورودی'!$G$22/100)</f>
        <v>73310178790.212036</v>
      </c>
      <c r="Q8" s="130">
        <f>P8*(1+'اطلاعات ورودی'!$G$22/100)</f>
        <v>84306705608.743835</v>
      </c>
      <c r="R8" s="130">
        <f>Q8*(1+'اطلاعات ورودی'!$G$22/100)</f>
        <v>96952711450.055405</v>
      </c>
      <c r="S8" s="130">
        <f>R8*(1+'اطلاعات ورودی'!$G$22/100)</f>
        <v>111495618167.56371</v>
      </c>
      <c r="T8" s="130">
        <f>S8*(1+'اطلاعات ورودی'!$G$22/100)</f>
        <v>128219960892.69826</v>
      </c>
    </row>
    <row r="9" spans="2:20" ht="19.5">
      <c r="B9" s="44"/>
      <c r="C9" s="648" t="s">
        <v>92</v>
      </c>
      <c r="D9" s="649"/>
      <c r="E9" s="650"/>
      <c r="F9" s="131">
        <f>'هزینه نیروی انسانی'!E19</f>
        <v>27941720000</v>
      </c>
      <c r="G9" s="130">
        <f>F9*(1+'اطلاعات ورودی'!$G$22/100)</f>
        <v>32132977999.999996</v>
      </c>
      <c r="H9" s="130">
        <f>G9*(1+'اطلاعات ورودی'!$G$22/100)</f>
        <v>36952924699.999992</v>
      </c>
      <c r="I9" s="130">
        <f>H9*(1+'اطلاعات ورودی'!$G$22/100)</f>
        <v>42495863404.999985</v>
      </c>
      <c r="J9" s="130">
        <f>I9*(1+'اطلاعات ورودی'!$G$22/100)</f>
        <v>48870242915.749977</v>
      </c>
      <c r="K9" s="130">
        <f>J9*(1+'اطلاعات ورودی'!$G$22/100)</f>
        <v>56200779353.112473</v>
      </c>
      <c r="L9" s="130">
        <f>K9*(1+'اطلاعات ورودی'!$G$22/100)</f>
        <v>64630896256.079338</v>
      </c>
      <c r="M9" s="130">
        <f>L9*(1+'اطلاعات ورودی'!$G$22/100)</f>
        <v>74325530694.491226</v>
      </c>
      <c r="N9" s="130">
        <f>M9*(1+'اطلاعات ورودی'!$G$22/100)</f>
        <v>85474360298.664902</v>
      </c>
      <c r="O9" s="130">
        <f>N9*(1+'اطلاعات ورودی'!$G$22/100)</f>
        <v>98295514343.46463</v>
      </c>
      <c r="P9" s="130">
        <f>O9*(1+'اطلاعات ورودی'!$G$22/100)</f>
        <v>113039841494.98431</v>
      </c>
      <c r="Q9" s="130">
        <f>P9*(1+'اطلاعات ورودی'!$G$22/100)</f>
        <v>129995817719.23195</v>
      </c>
      <c r="R9" s="130">
        <f>Q9*(1+'اطلاعات ورودی'!$G$22/100)</f>
        <v>149495190377.11673</v>
      </c>
      <c r="S9" s="130">
        <f>R9*(1+'اطلاعات ورودی'!$G$22/100)</f>
        <v>171919468933.68423</v>
      </c>
      <c r="T9" s="130">
        <f>S9*(1+'اطلاعات ورودی'!$G$22/100)</f>
        <v>197707389273.73685</v>
      </c>
    </row>
    <row r="10" spans="2:20" ht="19.5">
      <c r="B10" s="44"/>
      <c r="C10" s="648" t="s">
        <v>93</v>
      </c>
      <c r="D10" s="649"/>
      <c r="E10" s="650"/>
      <c r="F10" s="131">
        <f>'هزینه مواد شیمیایی و شستشو'!I28</f>
        <v>27004783179</v>
      </c>
      <c r="G10" s="130">
        <f>F10*(1+'اطلاعات ورودی'!$G$22/100)</f>
        <v>31055500655.849998</v>
      </c>
      <c r="H10" s="130">
        <f>G10*(1+'اطلاعات ورودی'!$G$22/100)</f>
        <v>35713825754.227493</v>
      </c>
      <c r="I10" s="130">
        <f>H10*(1+'اطلاعات ورودی'!$G$22/100)</f>
        <v>41070899617.36161</v>
      </c>
      <c r="J10" s="130">
        <f>I10*(1+'اطلاعات ورودی'!$G$22/100)</f>
        <v>47231534559.965851</v>
      </c>
      <c r="K10" s="130">
        <f>J10*(1+'اطلاعات ورودی'!$G$22/100)</f>
        <v>54316264743.960724</v>
      </c>
      <c r="L10" s="130">
        <f>K10*(1+'اطلاعات ورودی'!$G$22/100)</f>
        <v>62463704455.554825</v>
      </c>
      <c r="M10" s="130">
        <f>L10*(1+'اطلاعات ورودی'!$G$22/100)</f>
        <v>71833260123.888046</v>
      </c>
      <c r="N10" s="130">
        <f>M10*(1+'اطلاعات ورودی'!$G$22/100)</f>
        <v>82608249142.471252</v>
      </c>
      <c r="O10" s="130">
        <f>N10*(1+'اطلاعات ورودی'!$G$22/100)</f>
        <v>94999486513.841934</v>
      </c>
      <c r="P10" s="130">
        <f>O10*(1+'اطلاعات ورودی'!$G$22/100)</f>
        <v>109249409490.91821</v>
      </c>
      <c r="Q10" s="130">
        <f>P10*(1+'اطلاعات ورودی'!$G$22/100)</f>
        <v>125636820914.55594</v>
      </c>
      <c r="R10" s="130">
        <f>Q10*(1+'اطلاعات ورودی'!$G$22/100)</f>
        <v>144482344051.73932</v>
      </c>
      <c r="S10" s="130">
        <f>R10*(1+'اطلاعات ورودی'!$G$22/100)</f>
        <v>166154695659.50021</v>
      </c>
      <c r="T10" s="130">
        <f>S10*(1+'اطلاعات ورودی'!$G$22/100)</f>
        <v>191077900008.42523</v>
      </c>
    </row>
    <row r="11" spans="2:20" ht="19.5">
      <c r="B11" s="44"/>
      <c r="C11" s="648" t="s">
        <v>219</v>
      </c>
      <c r="D11" s="649"/>
      <c r="E11" s="650"/>
      <c r="F11" s="131">
        <f>'هزینه مواد مصرفی و قطعات یدکی'!J8</f>
        <v>36254473250</v>
      </c>
      <c r="G11" s="130">
        <f>F11*(1+'اطلاعات ورودی'!$G$22/100)</f>
        <v>41692644237.5</v>
      </c>
      <c r="H11" s="130">
        <f>G11*(1+'اطلاعات ورودی'!$G$22/100)</f>
        <v>47946540873.125</v>
      </c>
      <c r="I11" s="130">
        <f>H11*(1+'اطلاعات ورودی'!$G$22/100)</f>
        <v>55138522004.093742</v>
      </c>
      <c r="J11" s="130">
        <f>I11*(1+'اطلاعات ورودی'!$G$22/100)</f>
        <v>63409300304.707802</v>
      </c>
      <c r="K11" s="130">
        <f>J11*(1+'اطلاعات ورودی'!$G$22/100)</f>
        <v>72920695350.413971</v>
      </c>
      <c r="L11" s="130">
        <f>K11*(1+'اطلاعات ورودی'!$G$22/100)</f>
        <v>83858799652.976059</v>
      </c>
      <c r="M11" s="130">
        <f>L11*(1+'اطلاعات ورودی'!$G$22/100)</f>
        <v>96437619600.922455</v>
      </c>
      <c r="N11" s="130">
        <f>M11*(1+'اطلاعات ورودی'!$G$22/100)</f>
        <v>110903262541.06082</v>
      </c>
      <c r="O11" s="130">
        <f>N11*(1+'اطلاعات ورودی'!$G$22/100)</f>
        <v>127538751922.21994</v>
      </c>
      <c r="P11" s="130">
        <f>O11*(1+'اطلاعات ورودی'!$G$22/100)</f>
        <v>146669564710.55292</v>
      </c>
      <c r="Q11" s="130">
        <f>P11*(1+'اطلاعات ورودی'!$G$22/100)</f>
        <v>168669999417.13583</v>
      </c>
      <c r="R11" s="130">
        <f>Q11*(1+'اطلاعات ورودی'!$G$22/100)</f>
        <v>193970499329.70621</v>
      </c>
      <c r="S11" s="130">
        <f>R11*(1+'اطلاعات ورودی'!$G$22/100)</f>
        <v>223066074229.16211</v>
      </c>
      <c r="T11" s="130">
        <f>S11*(1+'اطلاعات ورودی'!$G$22/100)</f>
        <v>256525985363.53641</v>
      </c>
    </row>
    <row r="12" spans="2:20" ht="19.5">
      <c r="B12" s="44"/>
      <c r="C12" s="648" t="s">
        <v>96</v>
      </c>
      <c r="D12" s="649"/>
      <c r="E12" s="650"/>
      <c r="F12" s="131">
        <f>'هزینه متغیر در سال اول'!I11</f>
        <v>17188004750</v>
      </c>
      <c r="G12" s="130">
        <f>F12*(1+'اطلاعات ورودی'!$G$22/100)</f>
        <v>19766205462.5</v>
      </c>
      <c r="H12" s="130">
        <f>G12*(1+'اطلاعات ورودی'!$G$22/100)</f>
        <v>22731136281.875</v>
      </c>
      <c r="I12" s="130">
        <f>H12*(1+'اطلاعات ورودی'!$G$22/100)</f>
        <v>26140806724.156246</v>
      </c>
      <c r="J12" s="130">
        <f>I12*(1+'اطلاعات ورودی'!$G$22/100)</f>
        <v>30061927732.779682</v>
      </c>
      <c r="K12" s="130">
        <f>J12*(1+'اطلاعات ورودی'!$G$22/100)</f>
        <v>34571216892.696632</v>
      </c>
      <c r="L12" s="130">
        <f>K12*(1+'اطلاعات ورودی'!$G$22/100)</f>
        <v>39756899426.601128</v>
      </c>
      <c r="M12" s="130">
        <f>L12*(1+'اطلاعات ورودی'!$G$22/100)</f>
        <v>45720434340.591293</v>
      </c>
      <c r="N12" s="130">
        <f>M12*(1+'اطلاعات ورودی'!$G$22/100)</f>
        <v>52578499491.679985</v>
      </c>
      <c r="O12" s="130">
        <f>N12*(1+'اطلاعات ورودی'!$G$22/100)</f>
        <v>60465274415.431976</v>
      </c>
      <c r="P12" s="130">
        <f>O12*(1+'اطلاعات ورودی'!$G$22/100)</f>
        <v>69535065577.746765</v>
      </c>
      <c r="Q12" s="130">
        <f>P12*(1+'اطلاعات ورودی'!$G$22/100)</f>
        <v>79965325414.408768</v>
      </c>
      <c r="R12" s="130">
        <f>Q12*(1+'اطلاعات ورودی'!$G$22/100)</f>
        <v>91960124226.570068</v>
      </c>
      <c r="S12" s="130">
        <f>R12*(1+'اطلاعات ورودی'!$G$22/100)</f>
        <v>105754142860.55557</v>
      </c>
      <c r="T12" s="130">
        <f>S12*(1+'اطلاعات ورودی'!$G$22/100)</f>
        <v>121617264289.6389</v>
      </c>
    </row>
    <row r="13" spans="2:20" ht="19.5">
      <c r="B13" s="44"/>
      <c r="C13" s="648" t="s">
        <v>220</v>
      </c>
      <c r="D13" s="649"/>
      <c r="E13" s="650"/>
      <c r="F13" s="131">
        <f>'هزینه متغیر در سال اول'!I12</f>
        <v>960000000</v>
      </c>
      <c r="G13" s="130">
        <f>F13*(1+'اطلاعات ورودی'!$G$22/100)</f>
        <v>1104000000</v>
      </c>
      <c r="H13" s="130">
        <f>G13*(1+'اطلاعات ورودی'!$G$22/100)</f>
        <v>1269600000</v>
      </c>
      <c r="I13" s="130">
        <f>H13*(1+'اطلاعات ورودی'!$G$22/100)</f>
        <v>1460040000</v>
      </c>
      <c r="J13" s="130">
        <f>I13*(1+'اطلاعات ورودی'!$G$22/100)</f>
        <v>1679045999.9999998</v>
      </c>
      <c r="K13" s="130">
        <f>J13*(1+'اطلاعات ورودی'!$G$22/100)</f>
        <v>1930902899.9999995</v>
      </c>
      <c r="L13" s="130">
        <f>K13*(1+'اطلاعات ورودی'!$G$22/100)</f>
        <v>2220538334.999999</v>
      </c>
      <c r="M13" s="130">
        <f>L13*(1+'اطلاعات ورودی'!$G$22/100)</f>
        <v>2553619085.2499986</v>
      </c>
      <c r="N13" s="130">
        <f>M13*(1+'اطلاعات ورودی'!$G$22/100)</f>
        <v>2936661948.037498</v>
      </c>
      <c r="O13" s="130">
        <f>N13*(1+'اطلاعات ورودی'!$G$22/100)</f>
        <v>3377161240.2431226</v>
      </c>
      <c r="P13" s="130">
        <f>O13*(1+'اطلاعات ورودی'!$G$22/100)</f>
        <v>3883735426.2795906</v>
      </c>
      <c r="Q13" s="130">
        <f>P13*(1+'اطلاعات ورودی'!$G$22/100)</f>
        <v>4466295740.221529</v>
      </c>
      <c r="R13" s="130">
        <f>Q13*(1+'اطلاعات ورودی'!$G$22/100)</f>
        <v>5136240101.2547579</v>
      </c>
      <c r="S13" s="130">
        <f>R13*(1+'اطلاعات ورودی'!$G$22/100)</f>
        <v>5906676116.4429712</v>
      </c>
      <c r="T13" s="130">
        <f>S13*(1+'اطلاعات ورودی'!$G$22/100)</f>
        <v>6792677533.9094162</v>
      </c>
    </row>
    <row r="14" spans="2:20" ht="19.5">
      <c r="B14" s="44"/>
      <c r="C14" s="648" t="s">
        <v>107</v>
      </c>
      <c r="D14" s="649"/>
      <c r="E14" s="650"/>
      <c r="F14" s="113" t="s">
        <v>109</v>
      </c>
      <c r="G14" s="126" t="s">
        <v>109</v>
      </c>
      <c r="H14" s="130" t="s">
        <v>109</v>
      </c>
      <c r="I14" s="130" t="s">
        <v>109</v>
      </c>
      <c r="J14" s="130" t="s">
        <v>109</v>
      </c>
      <c r="K14" s="130" t="s">
        <v>109</v>
      </c>
      <c r="L14" s="130" t="s">
        <v>109</v>
      </c>
      <c r="M14" s="130" t="s">
        <v>109</v>
      </c>
      <c r="N14" s="130" t="s">
        <v>109</v>
      </c>
      <c r="O14" s="130" t="s">
        <v>109</v>
      </c>
      <c r="P14" s="130" t="s">
        <v>109</v>
      </c>
      <c r="Q14" s="130" t="s">
        <v>109</v>
      </c>
      <c r="R14" s="130" t="s">
        <v>109</v>
      </c>
      <c r="S14" s="130" t="s">
        <v>109</v>
      </c>
      <c r="T14" s="130" t="s">
        <v>109</v>
      </c>
    </row>
    <row r="15" spans="2:20" ht="19.5">
      <c r="B15" s="44"/>
      <c r="C15" s="648" t="s">
        <v>100</v>
      </c>
      <c r="D15" s="649"/>
      <c r="E15" s="650"/>
      <c r="F15" s="305">
        <f>'هزینه متغیر در سال اول'!I15</f>
        <v>12000000000</v>
      </c>
      <c r="G15" s="126">
        <f>F15*(1+'اطلاعات ورودی'!$G$22/100)</f>
        <v>13799999999.999998</v>
      </c>
      <c r="H15" s="130">
        <f>G15*(1+'اطلاعات ورودی'!$G$22/100)</f>
        <v>15869999999.999996</v>
      </c>
      <c r="I15" s="130">
        <f>H15*(1+'اطلاعات ورودی'!$G$22/100)</f>
        <v>18250499999.999992</v>
      </c>
      <c r="J15" s="130">
        <f>I15*(1+'اطلاعات ورودی'!$G$22/100)</f>
        <v>20988074999.999989</v>
      </c>
      <c r="K15" s="130">
        <f>J15*(1+'اطلاعات ورودی'!$G$22/100)</f>
        <v>24136286249.999985</v>
      </c>
      <c r="L15" s="130">
        <f>K15*(1+'اطلاعات ورودی'!$G$22/100)</f>
        <v>27756729187.499981</v>
      </c>
      <c r="M15" s="130">
        <f>L15*(1+'اطلاعات ورودی'!$G$22/100)</f>
        <v>31920238565.624977</v>
      </c>
      <c r="N15" s="130">
        <f>M15*(1+'اطلاعات ورودی'!$G$22/100)</f>
        <v>36708274350.468719</v>
      </c>
      <c r="O15" s="130">
        <f>N15*(1+'اطلاعات ورودی'!$G$22/100)</f>
        <v>42214515503.039024</v>
      </c>
      <c r="P15" s="130">
        <f>O15*(1+'اطلاعات ورودی'!$G$22/100)</f>
        <v>48546692828.494873</v>
      </c>
      <c r="Q15" s="130">
        <f>P15*(1+'اطلاعات ورودی'!$G$22/100)</f>
        <v>55828696752.769096</v>
      </c>
      <c r="R15" s="130">
        <f>Q15*(1+'اطلاعات ورودی'!$G$22/100)</f>
        <v>64203001265.684456</v>
      </c>
      <c r="S15" s="130">
        <f>R15*(1+'اطلاعات ورودی'!$G$22/100)</f>
        <v>73833451455.537125</v>
      </c>
      <c r="T15" s="130">
        <f>S15*(1+'اطلاعات ورودی'!$G$22/100)</f>
        <v>84908469173.867691</v>
      </c>
    </row>
    <row r="16" spans="2:20" ht="19.5">
      <c r="B16" s="44"/>
      <c r="C16" s="651" t="s">
        <v>101</v>
      </c>
      <c r="D16" s="652"/>
      <c r="E16" s="653"/>
      <c r="F16" s="131">
        <f>'استهلاک سرمایه'!K5</f>
        <v>102389828333.33333</v>
      </c>
      <c r="G16" s="130">
        <f>'استهلاک سرمایه'!K6</f>
        <v>102389828333.33333</v>
      </c>
      <c r="H16" s="130">
        <f>'استهلاک سرمایه'!K7</f>
        <v>102389828333.33333</v>
      </c>
      <c r="I16" s="130">
        <f>'استهلاک سرمایه'!K8</f>
        <v>102389828333.33333</v>
      </c>
      <c r="J16" s="130">
        <f>'استهلاک سرمایه'!K9</f>
        <v>102389828333.33333</v>
      </c>
      <c r="K16" s="130">
        <f>'استهلاک سرمایه'!K10</f>
        <v>102389828333.33333</v>
      </c>
      <c r="L16" s="130">
        <f>'استهلاک سرمایه'!K11</f>
        <v>102389828333.33333</v>
      </c>
      <c r="M16" s="130">
        <f>'استهلاک سرمایه'!K12</f>
        <v>102389828333.33333</v>
      </c>
      <c r="N16" s="130">
        <f>'استهلاک سرمایه'!K13</f>
        <v>102389828333.33333</v>
      </c>
      <c r="O16" s="130">
        <f>'استهلاک سرمایه'!K14</f>
        <v>102389828333.33333</v>
      </c>
      <c r="P16" s="130">
        <f>'استهلاک سرمایه'!K15</f>
        <v>102389828333.33333</v>
      </c>
      <c r="Q16" s="130">
        <f>'استهلاک سرمایه'!K16</f>
        <v>102389828333.33333</v>
      </c>
      <c r="R16" s="130">
        <f>'استهلاک سرمایه'!K17</f>
        <v>102389828333.33333</v>
      </c>
      <c r="S16" s="130">
        <f>'استهلاک سرمایه'!K18</f>
        <v>102389828333.33333</v>
      </c>
      <c r="T16" s="130">
        <f>'استهلاک سرمایه'!K19</f>
        <v>102389828333.33333</v>
      </c>
    </row>
    <row r="17" spans="2:20" ht="19.5">
      <c r="B17" s="44"/>
      <c r="C17" s="651" t="s">
        <v>221</v>
      </c>
      <c r="D17" s="652"/>
      <c r="E17" s="653"/>
      <c r="F17" s="132">
        <f>'هزینه متغیر در سال اول'!I17</f>
        <v>22597420000</v>
      </c>
      <c r="G17" s="130">
        <f>F17*(1+'اطلاعات ورودی'!$G$22/100)</f>
        <v>25987032999.999996</v>
      </c>
      <c r="H17" s="130">
        <f>G17*(1+'اطلاعات ورودی'!$G$22/100)</f>
        <v>29885087949.999992</v>
      </c>
      <c r="I17" s="130">
        <f>H17*(1+'اطلاعات ورودی'!$G$22/100)</f>
        <v>34367851142.499992</v>
      </c>
      <c r="J17" s="130">
        <f>I17*(1+'اطلاعات ورودی'!$G$22/100)</f>
        <v>39523028813.874985</v>
      </c>
      <c r="K17" s="130">
        <f>J17*(1+'اطلاعات ورودی'!$G$22/100)</f>
        <v>45451483135.95623</v>
      </c>
      <c r="L17" s="130">
        <f>K17*(1+'اطلاعات ورودی'!$G$22/100)</f>
        <v>52269205606.349663</v>
      </c>
      <c r="M17" s="130">
        <f>L17*(1+'اطلاعات ورودی'!$G$22/100)</f>
        <v>60109586447.302109</v>
      </c>
      <c r="N17" s="130">
        <f>M17*(1+'اطلاعات ورودی'!$G$22/100)</f>
        <v>69126024414.397415</v>
      </c>
      <c r="O17" s="130">
        <f>N17*(1+'اطلاعات ورودی'!$G$22/100)</f>
        <v>79494928076.557022</v>
      </c>
      <c r="P17" s="130">
        <f>O17*(1+'اطلاعات ورودی'!$G$22/100)</f>
        <v>91419167288.040573</v>
      </c>
      <c r="Q17" s="130">
        <f>P17*(1+'اطلاعات ورودی'!$G$22/100)</f>
        <v>105132042381.24666</v>
      </c>
      <c r="R17" s="130">
        <f>Q17*(1+'اطلاعات ورودی'!$G$22/100)</f>
        <v>120901848738.43365</v>
      </c>
      <c r="S17" s="130">
        <f>R17*(1+'اطلاعات ورودی'!$G$22/100)</f>
        <v>139037126049.1987</v>
      </c>
      <c r="T17" s="130">
        <f>S17*(1+'اطلاعات ورودی'!$G$22/100)</f>
        <v>159892694956.57849</v>
      </c>
    </row>
    <row r="18" spans="2:20" ht="19.5">
      <c r="B18" s="44"/>
      <c r="C18" s="651" t="s">
        <v>222</v>
      </c>
      <c r="D18" s="652"/>
      <c r="E18" s="653"/>
      <c r="F18" s="113" t="s">
        <v>109</v>
      </c>
      <c r="G18" s="115" t="s">
        <v>109</v>
      </c>
      <c r="H18" s="127" t="s">
        <v>109</v>
      </c>
      <c r="I18" s="127" t="s">
        <v>109</v>
      </c>
      <c r="J18" s="127" t="s">
        <v>109</v>
      </c>
      <c r="K18" s="127" t="s">
        <v>109</v>
      </c>
      <c r="L18" s="127" t="s">
        <v>109</v>
      </c>
      <c r="M18" s="127" t="s">
        <v>109</v>
      </c>
      <c r="N18" s="127" t="s">
        <v>109</v>
      </c>
      <c r="O18" s="127" t="s">
        <v>109</v>
      </c>
      <c r="P18" s="127" t="s">
        <v>109</v>
      </c>
      <c r="Q18" s="127" t="s">
        <v>109</v>
      </c>
      <c r="R18" s="127" t="s">
        <v>109</v>
      </c>
      <c r="S18" s="127" t="s">
        <v>109</v>
      </c>
      <c r="T18" s="127" t="s">
        <v>109</v>
      </c>
    </row>
    <row r="19" spans="2:20" ht="19.5">
      <c r="B19" s="44"/>
      <c r="C19" s="651" t="s">
        <v>223</v>
      </c>
      <c r="D19" s="652"/>
      <c r="E19" s="653"/>
      <c r="F19" s="113" t="s">
        <v>109</v>
      </c>
      <c r="G19" s="115" t="s">
        <v>109</v>
      </c>
      <c r="H19" s="127" t="s">
        <v>109</v>
      </c>
      <c r="I19" s="127" t="s">
        <v>109</v>
      </c>
      <c r="J19" s="127" t="s">
        <v>109</v>
      </c>
      <c r="K19" s="127" t="s">
        <v>109</v>
      </c>
      <c r="L19" s="127" t="s">
        <v>109</v>
      </c>
      <c r="M19" s="127" t="s">
        <v>109</v>
      </c>
      <c r="N19" s="127" t="s">
        <v>109</v>
      </c>
      <c r="O19" s="127" t="s">
        <v>109</v>
      </c>
      <c r="P19" s="127" t="s">
        <v>109</v>
      </c>
      <c r="Q19" s="127" t="s">
        <v>109</v>
      </c>
      <c r="R19" s="127" t="s">
        <v>109</v>
      </c>
      <c r="S19" s="127" t="s">
        <v>109</v>
      </c>
      <c r="T19" s="127" t="s">
        <v>109</v>
      </c>
    </row>
    <row r="20" spans="2:20" ht="19.5">
      <c r="B20" s="44"/>
      <c r="C20" s="651" t="s">
        <v>224</v>
      </c>
      <c r="D20" s="652"/>
      <c r="E20" s="653"/>
      <c r="F20" s="131">
        <f>SUM(F5:F19)</f>
        <v>264457384512.33331</v>
      </c>
      <c r="G20" s="132">
        <f>SUM(G5:G19)</f>
        <v>288767517939.18335</v>
      </c>
      <c r="H20" s="132">
        <f t="shared" ref="H20:T20" si="0">SUM(H5:H19)</f>
        <v>316724171380.06079</v>
      </c>
      <c r="I20" s="132">
        <f t="shared" si="0"/>
        <v>348874322837.06995</v>
      </c>
      <c r="J20" s="132">
        <f t="shared" si="0"/>
        <v>385846997012.63037</v>
      </c>
      <c r="K20" s="132">
        <f t="shared" si="0"/>
        <v>428365572314.5249</v>
      </c>
      <c r="L20" s="132">
        <f t="shared" si="0"/>
        <v>477261933911.70361</v>
      </c>
      <c r="M20" s="132">
        <f t="shared" si="0"/>
        <v>533492749748.45917</v>
      </c>
      <c r="N20" s="132">
        <f t="shared" si="0"/>
        <v>598158187960.72791</v>
      </c>
      <c r="O20" s="132">
        <f t="shared" si="0"/>
        <v>672523441904.83716</v>
      </c>
      <c r="P20" s="132">
        <f t="shared" si="0"/>
        <v>758043483940.56262</v>
      </c>
      <c r="Q20" s="132">
        <f t="shared" si="0"/>
        <v>856391532281.64709</v>
      </c>
      <c r="R20" s="132">
        <f t="shared" si="0"/>
        <v>969491787873.89404</v>
      </c>
      <c r="S20" s="132">
        <f t="shared" si="0"/>
        <v>1099557081804.978</v>
      </c>
      <c r="T20" s="132">
        <f t="shared" si="0"/>
        <v>1249132169825.7246</v>
      </c>
    </row>
    <row r="21" spans="2:20">
      <c r="B21" s="44"/>
      <c r="C21" s="651" t="s">
        <v>228</v>
      </c>
      <c r="D21" s="652"/>
      <c r="E21" s="653"/>
      <c r="F21" s="657">
        <f>(F20-F16)/'اطلاعات ورودی'!$G$6/'اطلاعات ورودی'!$G$21</f>
        <v>13822.392851087421</v>
      </c>
      <c r="G21" s="657">
        <f>(G20-G16)/'اطلاعات ورودی'!$G$6/'اطلاعات ورودی'!$G$21</f>
        <v>15895.751778750537</v>
      </c>
      <c r="H21" s="657">
        <f>(H20-H16)/'اطلاعات ورودی'!$G$6/'اطلاعات ورودی'!$G$21</f>
        <v>18280.114545563112</v>
      </c>
      <c r="I21" s="657">
        <f>(I20-I16)/'اطلاعات ورودی'!$G$6/'اطلاعات ورودی'!$G$21</f>
        <v>21022.13172739758</v>
      </c>
      <c r="J21" s="657">
        <f>(J20-J16)/'اطلاعات ورودی'!$G$6/'اطلاعات ورودی'!$G$21</f>
        <v>24175.451486507212</v>
      </c>
      <c r="K21" s="657">
        <f>(K20-K16)/'اطلاعات ورودی'!$G$6/'اطلاعات ورودی'!$G$21</f>
        <v>27801.769209483293</v>
      </c>
      <c r="L21" s="657">
        <f>(L20-L16)/'اطلاعات ورودی'!$G$6/'اطلاعات ورودی'!$G$21</f>
        <v>31972.034590905783</v>
      </c>
      <c r="M21" s="657">
        <f>(M20-M16)/'اطلاعات ورودی'!$G$6/'اطلاعات ورودی'!$G$21</f>
        <v>36767.839779541653</v>
      </c>
      <c r="N21" s="657">
        <f>(N20-N16)/'اطلاعات ورودی'!$G$6/'اطلاعات ورودی'!$G$21</f>
        <v>42283.015746472884</v>
      </c>
      <c r="O21" s="657">
        <f>(O20-O16)/'اطلاعات ورودی'!$G$6/'اطلاعات ورودی'!$G$21</f>
        <v>48625.46810844382</v>
      </c>
      <c r="P21" s="657">
        <f>(P20-P16)/'اطلاعات ورودی'!$G$6/'اطلاعات ورودی'!$G$21</f>
        <v>55919.288324710382</v>
      </c>
      <c r="Q21" s="657">
        <f>(Q20-Q16)/'اطلاعات ورودی'!$G$6/'اطلاعات ورودی'!$G$21</f>
        <v>64307.18157341695</v>
      </c>
      <c r="R21" s="657">
        <f>(R20-R16)/'اطلاعات ورودی'!$G$6/'اطلاعات ورودی'!$G$21</f>
        <v>73953.258809429492</v>
      </c>
      <c r="S21" s="657">
        <f>(S20-S16)/'اطلاعات ورودی'!$G$6/'اطلاعات ورودی'!$G$21</f>
        <v>85046.247630843893</v>
      </c>
      <c r="T21" s="657">
        <f>(T20-T16)/'اطلاعات ورودی'!$G$6/'اطلاعات ورودی'!$G$21</f>
        <v>97803.18477547048</v>
      </c>
    </row>
    <row r="22" spans="2:20" ht="18.75" thickBot="1">
      <c r="B22" s="44"/>
      <c r="C22" s="654"/>
      <c r="D22" s="655"/>
      <c r="E22" s="656"/>
      <c r="F22" s="658"/>
      <c r="G22" s="658"/>
      <c r="H22" s="658"/>
      <c r="I22" s="658"/>
      <c r="J22" s="658"/>
      <c r="K22" s="658"/>
      <c r="L22" s="658"/>
      <c r="M22" s="658"/>
      <c r="N22" s="658"/>
      <c r="O22" s="658"/>
      <c r="P22" s="658"/>
      <c r="Q22" s="658"/>
      <c r="R22" s="658"/>
      <c r="S22" s="658"/>
      <c r="T22" s="658"/>
    </row>
    <row r="23" spans="2:20" ht="18.75" thickTop="1"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</row>
    <row r="24" spans="2:20">
      <c r="F24" s="188"/>
      <c r="G24" s="304"/>
      <c r="H24" s="188"/>
      <c r="I24" s="188"/>
      <c r="J24" s="188"/>
      <c r="K24" s="188"/>
      <c r="L24" s="188"/>
    </row>
    <row r="25" spans="2:20">
      <c r="F25" s="188"/>
      <c r="G25" s="188"/>
    </row>
    <row r="26" spans="2:20">
      <c r="G26" s="188"/>
    </row>
  </sheetData>
  <mergeCells count="34">
    <mergeCell ref="S21:S22"/>
    <mergeCell ref="T21:T22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C16:E16"/>
    <mergeCell ref="C17:E17"/>
    <mergeCell ref="C18:E18"/>
    <mergeCell ref="C19:E19"/>
    <mergeCell ref="C20:E20"/>
    <mergeCell ref="C3:T3"/>
    <mergeCell ref="C15:E15"/>
    <mergeCell ref="C21:E22"/>
    <mergeCell ref="F21:F2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L21:L22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rightToLeft="1" tabSelected="1" topLeftCell="A3" zoomScaleNormal="100" workbookViewId="0">
      <selection activeCell="K5" sqref="K5:L18"/>
    </sheetView>
  </sheetViews>
  <sheetFormatPr defaultRowHeight="15"/>
  <cols>
    <col min="3" max="3" width="16" bestFit="1" customWidth="1"/>
    <col min="5" max="5" width="16" bestFit="1" customWidth="1"/>
    <col min="7" max="7" width="16" bestFit="1" customWidth="1"/>
    <col min="8" max="9" width="14.42578125" bestFit="1" customWidth="1"/>
    <col min="11" max="11" width="16" bestFit="1" customWidth="1"/>
    <col min="13" max="13" width="5.28515625" customWidth="1"/>
    <col min="16" max="18" width="16" bestFit="1" customWidth="1"/>
    <col min="25" max="25" width="16" bestFit="1" customWidth="1"/>
    <col min="27" max="29" width="16" bestFit="1" customWidth="1"/>
  </cols>
  <sheetData>
    <row r="1" spans="1:15" ht="15.75" thickBot="1"/>
    <row r="2" spans="1:15" ht="25.5" thickTop="1" thickBot="1">
      <c r="B2" s="565" t="s">
        <v>225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7"/>
    </row>
    <row r="3" spans="1:15" ht="67.5" customHeight="1" thickTop="1" thickBot="1">
      <c r="A3" s="39"/>
      <c r="B3" s="112" t="s">
        <v>137</v>
      </c>
      <c r="C3" s="669" t="s">
        <v>316</v>
      </c>
      <c r="D3" s="670"/>
      <c r="E3" s="671" t="s">
        <v>314</v>
      </c>
      <c r="F3" s="670"/>
      <c r="G3" s="669" t="s">
        <v>315</v>
      </c>
      <c r="H3" s="670"/>
      <c r="I3" s="669" t="s">
        <v>226</v>
      </c>
      <c r="J3" s="670"/>
      <c r="K3" s="669" t="s">
        <v>317</v>
      </c>
      <c r="L3" s="670"/>
      <c r="M3" s="675" t="s">
        <v>227</v>
      </c>
      <c r="N3" s="412"/>
      <c r="O3" s="670"/>
    </row>
    <row r="4" spans="1:15" ht="19.5" thickTop="1" thickBot="1">
      <c r="A4" s="39"/>
      <c r="B4" s="74">
        <v>1</v>
      </c>
      <c r="C4" s="667">
        <f>M4*'اطلاعات ورودی'!$G$6*'اطلاعات ورودی'!$G$21</f>
        <v>427962500000</v>
      </c>
      <c r="D4" s="668"/>
      <c r="E4" s="667">
        <f>'هزینه متغیر 15 سال'!F20-'هزینه متغیر 15 سال'!F16</f>
        <v>162067556179</v>
      </c>
      <c r="F4" s="668"/>
      <c r="G4" s="667">
        <f>C4-E4</f>
        <v>265894943821</v>
      </c>
      <c r="H4" s="668"/>
      <c r="I4" s="667">
        <v>0</v>
      </c>
      <c r="J4" s="668"/>
      <c r="K4" s="667"/>
      <c r="L4" s="668"/>
      <c r="M4" s="676">
        <f>'اطلاعات ورودی'!G16</f>
        <v>36500</v>
      </c>
      <c r="N4" s="677"/>
      <c r="O4" s="678"/>
    </row>
    <row r="5" spans="1:15" ht="19.5" thickTop="1" thickBot="1">
      <c r="A5" s="39"/>
      <c r="B5" s="79">
        <v>2</v>
      </c>
      <c r="C5" s="667">
        <f>M5*'اطلاعات ورودی'!$G$6*'اطلاعات ورودی'!$G$21</f>
        <v>492156875000</v>
      </c>
      <c r="D5" s="668"/>
      <c r="E5" s="665">
        <f>'هزینه متغیر 15 سال'!G20-'هزینه متغیر 15 سال'!G16</f>
        <v>186377689605.85004</v>
      </c>
      <c r="F5" s="666"/>
      <c r="G5" s="667">
        <f t="shared" ref="G5:G18" si="0">C5-E5</f>
        <v>305779185394.14996</v>
      </c>
      <c r="H5" s="668"/>
      <c r="I5" s="665">
        <v>0</v>
      </c>
      <c r="J5" s="666"/>
      <c r="K5" s="667">
        <f ca="1">K5:P15</f>
        <v>0</v>
      </c>
      <c r="L5" s="668"/>
      <c r="M5" s="662">
        <f>M4*(1+'اطلاعات ورودی'!$G$22/100)</f>
        <v>41975</v>
      </c>
      <c r="N5" s="663"/>
      <c r="O5" s="664"/>
    </row>
    <row r="6" spans="1:15" ht="19.5" thickTop="1" thickBot="1">
      <c r="A6" s="39"/>
      <c r="B6" s="79">
        <v>3</v>
      </c>
      <c r="C6" s="667">
        <f>M6*'اطلاعات ورودی'!$G$6*'اطلاعات ورودی'!$G$21</f>
        <v>565980406249.99988</v>
      </c>
      <c r="D6" s="668"/>
      <c r="E6" s="665">
        <f>'هزینه متغیر 15 سال'!H20-'هزینه متغیر 15 سال'!G16</f>
        <v>214334343046.72748</v>
      </c>
      <c r="F6" s="666"/>
      <c r="G6" s="667">
        <f t="shared" si="0"/>
        <v>351646063203.2724</v>
      </c>
      <c r="H6" s="668"/>
      <c r="I6" s="665">
        <v>0</v>
      </c>
      <c r="J6" s="666"/>
      <c r="K6" s="667">
        <f t="shared" ref="K6:K18" ca="1" si="1">K6:P16</f>
        <v>0</v>
      </c>
      <c r="L6" s="668"/>
      <c r="M6" s="662">
        <f>M5*(1+'اطلاعات ورودی'!$G$22/100)</f>
        <v>48271.249999999993</v>
      </c>
      <c r="N6" s="663"/>
      <c r="O6" s="664"/>
    </row>
    <row r="7" spans="1:15" ht="19.5" thickTop="1" thickBot="1">
      <c r="A7" s="39"/>
      <c r="B7" s="79">
        <v>4</v>
      </c>
      <c r="C7" s="667">
        <f>M7*'اطلاعات ورودی'!$G$6*'اطلاعات ورودی'!$G$21</f>
        <v>650877467187.49988</v>
      </c>
      <c r="D7" s="668"/>
      <c r="E7" s="665">
        <f>'هزینه متغیر 15 سال'!I20</f>
        <v>348874322837.06995</v>
      </c>
      <c r="F7" s="666"/>
      <c r="G7" s="667">
        <f t="shared" si="0"/>
        <v>302003144350.42993</v>
      </c>
      <c r="H7" s="668"/>
      <c r="I7" s="665">
        <v>0</v>
      </c>
      <c r="J7" s="666"/>
      <c r="K7" s="667">
        <f t="shared" ca="1" si="1"/>
        <v>0</v>
      </c>
      <c r="L7" s="668"/>
      <c r="M7" s="662">
        <f>M6*(1+'اطلاعات ورودی'!$G$22/100)</f>
        <v>55511.937499999985</v>
      </c>
      <c r="N7" s="663"/>
      <c r="O7" s="664"/>
    </row>
    <row r="8" spans="1:15" ht="19.5" thickTop="1" thickBot="1">
      <c r="A8" s="39"/>
      <c r="B8" s="79">
        <v>5</v>
      </c>
      <c r="C8" s="667">
        <f>M8*'اطلاعات ورودی'!$G$6*'اطلاعات ورودی'!$G$21</f>
        <v>748509087265.62488</v>
      </c>
      <c r="D8" s="668"/>
      <c r="E8" s="665">
        <f>'هزینه متغیر 15 سال'!J20-'هزینه متغیر 15 سال'!G16</f>
        <v>283457168679.29706</v>
      </c>
      <c r="F8" s="666"/>
      <c r="G8" s="667">
        <f t="shared" si="0"/>
        <v>465051918586.32782</v>
      </c>
      <c r="H8" s="668"/>
      <c r="I8" s="665">
        <v>0</v>
      </c>
      <c r="J8" s="666"/>
      <c r="K8" s="667">
        <f t="shared" ca="1" si="1"/>
        <v>0</v>
      </c>
      <c r="L8" s="668"/>
      <c r="M8" s="662">
        <f>M7*(1+'اطلاعات ورودی'!$G$22/100)</f>
        <v>63838.72812499998</v>
      </c>
      <c r="N8" s="663"/>
      <c r="O8" s="664"/>
    </row>
    <row r="9" spans="1:15" ht="19.5" thickTop="1" thickBot="1">
      <c r="A9" s="39"/>
      <c r="B9" s="79">
        <v>6</v>
      </c>
      <c r="C9" s="667">
        <f>M9*'اطلاعات ورودی'!$G$6*'اطلاعات ورودی'!$G$21</f>
        <v>860785450355.46826</v>
      </c>
      <c r="D9" s="668"/>
      <c r="E9" s="665">
        <f>'هزینه متغیر 15 سال'!K20-'هزینه متغیر 15 سال'!G16</f>
        <v>325975743981.19159</v>
      </c>
      <c r="F9" s="666"/>
      <c r="G9" s="667">
        <f t="shared" si="0"/>
        <v>534809706374.27667</v>
      </c>
      <c r="H9" s="668"/>
      <c r="I9" s="665">
        <v>0</v>
      </c>
      <c r="J9" s="666"/>
      <c r="K9" s="667">
        <f t="shared" ca="1" si="1"/>
        <v>0</v>
      </c>
      <c r="L9" s="668"/>
      <c r="M9" s="662">
        <f>M8*(1+'اطلاعات ورودی'!$G$22/100)</f>
        <v>73414.537343749966</v>
      </c>
      <c r="N9" s="663"/>
      <c r="O9" s="664"/>
    </row>
    <row r="10" spans="1:15" ht="19.5" thickTop="1" thickBot="1">
      <c r="A10" s="39"/>
      <c r="B10" s="79">
        <v>7</v>
      </c>
      <c r="C10" s="667">
        <f>M10*'اطلاعات ورودی'!$G$6*'اطلاعات ورودی'!$G$21</f>
        <v>989903267908.78857</v>
      </c>
      <c r="D10" s="668"/>
      <c r="E10" s="665">
        <f>'هزینه متغیر 15 سال'!L20-'هزینه متغیر 15 سال'!G16</f>
        <v>374872105578.3703</v>
      </c>
      <c r="F10" s="666"/>
      <c r="G10" s="667">
        <f t="shared" si="0"/>
        <v>615031162330.41821</v>
      </c>
      <c r="H10" s="668"/>
      <c r="I10" s="665">
        <v>0</v>
      </c>
      <c r="J10" s="666"/>
      <c r="K10" s="667">
        <f t="shared" ca="1" si="1"/>
        <v>0</v>
      </c>
      <c r="L10" s="668"/>
      <c r="M10" s="662">
        <f>M9*(1+'اطلاعات ورودی'!$G$22/100)</f>
        <v>84426.717945312455</v>
      </c>
      <c r="N10" s="663"/>
      <c r="O10" s="664"/>
    </row>
    <row r="11" spans="1:15" ht="19.5" thickTop="1" thickBot="1">
      <c r="A11" s="39"/>
      <c r="B11" s="79">
        <v>8</v>
      </c>
      <c r="C11" s="667">
        <f>M11*'اطلاعات ورودی'!$G$6*'اطلاعات ورودی'!$G$21</f>
        <v>1138388758095.1067</v>
      </c>
      <c r="D11" s="668"/>
      <c r="E11" s="665">
        <f>'هزینه متغیر 15 سال'!M20-'هزینه متغیر 15 سال'!G16</f>
        <v>431102921415.12585</v>
      </c>
      <c r="F11" s="666"/>
      <c r="G11" s="667">
        <f t="shared" si="0"/>
        <v>707285836679.98083</v>
      </c>
      <c r="H11" s="668"/>
      <c r="I11" s="665">
        <v>0</v>
      </c>
      <c r="J11" s="666"/>
      <c r="K11" s="667">
        <f t="shared" ca="1" si="1"/>
        <v>0</v>
      </c>
      <c r="L11" s="668"/>
      <c r="M11" s="662">
        <f>M10*(1+'اطلاعات ورودی'!$G$22/100)</f>
        <v>97090.72563710931</v>
      </c>
      <c r="N11" s="663"/>
      <c r="O11" s="664"/>
    </row>
    <row r="12" spans="1:15" ht="19.5" thickTop="1" thickBot="1">
      <c r="A12" s="39"/>
      <c r="B12" s="79">
        <v>9</v>
      </c>
      <c r="C12" s="667">
        <f>M12*'اطلاعات ورودی'!$G$6*'اطلاعات ورودی'!$G$21</f>
        <v>1309147071809.3726</v>
      </c>
      <c r="D12" s="668"/>
      <c r="E12" s="665">
        <f>'هزینه متغیر 15 سال'!N20-'هزینه متغیر 15 سال'!G16</f>
        <v>495768359627.39459</v>
      </c>
      <c r="F12" s="666"/>
      <c r="G12" s="667">
        <f t="shared" si="0"/>
        <v>813378712181.97803</v>
      </c>
      <c r="H12" s="668"/>
      <c r="I12" s="665">
        <v>0</v>
      </c>
      <c r="J12" s="666"/>
      <c r="K12" s="667">
        <f t="shared" ca="1" si="1"/>
        <v>0</v>
      </c>
      <c r="L12" s="668"/>
      <c r="M12" s="662">
        <f>M11*(1+'اطلاعات ورودی'!$G$22/100)</f>
        <v>111654.33448267569</v>
      </c>
      <c r="N12" s="663"/>
      <c r="O12" s="664"/>
    </row>
    <row r="13" spans="1:15" ht="19.5" thickTop="1" thickBot="1">
      <c r="A13" s="39"/>
      <c r="B13" s="79">
        <v>10</v>
      </c>
      <c r="C13" s="667">
        <f>M13*'اطلاعات ورودی'!$G$6*'اطلاعات ورودی'!$G$21</f>
        <v>1505519132580.7783</v>
      </c>
      <c r="D13" s="668"/>
      <c r="E13" s="665">
        <f>'هزینه متغیر 15 سال'!O20-'هزینه متغیر 15 سال'!G16</f>
        <v>570133613571.50378</v>
      </c>
      <c r="F13" s="666"/>
      <c r="G13" s="667">
        <f t="shared" si="0"/>
        <v>935385519009.27454</v>
      </c>
      <c r="H13" s="668"/>
      <c r="I13" s="665">
        <v>0</v>
      </c>
      <c r="J13" s="666"/>
      <c r="K13" s="667">
        <f t="shared" ca="1" si="1"/>
        <v>0</v>
      </c>
      <c r="L13" s="668"/>
      <c r="M13" s="662">
        <f>M12*(1+'اطلاعات ورودی'!$G$22/100)</f>
        <v>128402.48465507705</v>
      </c>
      <c r="N13" s="663"/>
      <c r="O13" s="664"/>
    </row>
    <row r="14" spans="1:15" ht="19.5" thickTop="1" thickBot="1">
      <c r="A14" s="39"/>
      <c r="B14" s="79">
        <v>11</v>
      </c>
      <c r="C14" s="667">
        <f>M14*'اطلاعات ورودی'!$G$6*'اطلاعات ورودی'!$G$21</f>
        <v>1731347002467.895</v>
      </c>
      <c r="D14" s="668"/>
      <c r="E14" s="665">
        <f>'هزینه متغیر 15 سال'!P20-'هزینه متغیر 15 سال'!G16</f>
        <v>655653655607.22925</v>
      </c>
      <c r="F14" s="666"/>
      <c r="G14" s="667">
        <f t="shared" si="0"/>
        <v>1075693346860.6658</v>
      </c>
      <c r="H14" s="668"/>
      <c r="I14" s="665">
        <v>0</v>
      </c>
      <c r="J14" s="666"/>
      <c r="K14" s="667">
        <f t="shared" ca="1" si="1"/>
        <v>0</v>
      </c>
      <c r="L14" s="668"/>
      <c r="M14" s="662">
        <f>M13*(1+'اطلاعات ورودی'!$G$22/100)</f>
        <v>147662.85735333859</v>
      </c>
      <c r="N14" s="663"/>
      <c r="O14" s="664"/>
    </row>
    <row r="15" spans="1:15" ht="19.5" thickTop="1" thickBot="1">
      <c r="A15" s="39"/>
      <c r="B15" s="79">
        <v>12</v>
      </c>
      <c r="C15" s="667">
        <f>M15*'اطلاعات ورودی'!$G$6*'اطلاعات ورودی'!$G$21</f>
        <v>1991049052838.0789</v>
      </c>
      <c r="D15" s="668"/>
      <c r="E15" s="665">
        <f>'هزینه متغیر 15 سال'!Q20-'هزینه متغیر 15 سال'!G16</f>
        <v>754001703948.31372</v>
      </c>
      <c r="F15" s="666"/>
      <c r="G15" s="667">
        <f t="shared" si="0"/>
        <v>1237047348889.7651</v>
      </c>
      <c r="H15" s="668"/>
      <c r="I15" s="665">
        <v>0</v>
      </c>
      <c r="J15" s="666"/>
      <c r="K15" s="667">
        <f t="shared" ca="1" si="1"/>
        <v>0</v>
      </c>
      <c r="L15" s="668"/>
      <c r="M15" s="662">
        <f>M14*(1+'اطلاعات ورودی'!$G$22/100)</f>
        <v>169812.28595633936</v>
      </c>
      <c r="N15" s="663"/>
      <c r="O15" s="664"/>
    </row>
    <row r="16" spans="1:15" ht="19.5" thickTop="1" thickBot="1">
      <c r="A16" s="39"/>
      <c r="B16" s="79">
        <v>13</v>
      </c>
      <c r="C16" s="667">
        <f>M16*'اطلاعات ورودی'!$G$6*'اطلاعات ورودی'!$G$21</f>
        <v>2289706410763.7905</v>
      </c>
      <c r="D16" s="668"/>
      <c r="E16" s="665">
        <f>'هزینه متغیر 15 سال'!R20-'هزینه متغیر 15 سال'!G16</f>
        <v>867101959540.56067</v>
      </c>
      <c r="F16" s="666"/>
      <c r="G16" s="667">
        <f t="shared" si="0"/>
        <v>1422604451223.23</v>
      </c>
      <c r="H16" s="668"/>
      <c r="I16" s="665">
        <v>0</v>
      </c>
      <c r="J16" s="666"/>
      <c r="K16" s="667">
        <f t="shared" ca="1" si="1"/>
        <v>0</v>
      </c>
      <c r="L16" s="668"/>
      <c r="M16" s="662">
        <f>M15*(1+'اطلاعات ورودی'!$G$22/100)</f>
        <v>195284.12884979026</v>
      </c>
      <c r="N16" s="663"/>
      <c r="O16" s="664"/>
    </row>
    <row r="17" spans="1:29" ht="19.5" thickTop="1" thickBot="1">
      <c r="A17" s="39"/>
      <c r="B17" s="79">
        <v>14</v>
      </c>
      <c r="C17" s="667">
        <f>M17*'اطلاعات ورودی'!$G$6*'اطلاعات ورودی'!$G$21</f>
        <v>2633162372378.3594</v>
      </c>
      <c r="D17" s="668"/>
      <c r="E17" s="665">
        <f>'هزینه متغیر 15 سال'!S20-'هزینه متغیر 15 سال'!G16</f>
        <v>997167253471.64465</v>
      </c>
      <c r="F17" s="666"/>
      <c r="G17" s="667">
        <f t="shared" si="0"/>
        <v>1635995118906.7148</v>
      </c>
      <c r="H17" s="668"/>
      <c r="I17" s="665">
        <v>0</v>
      </c>
      <c r="J17" s="666"/>
      <c r="K17" s="667">
        <f t="shared" ca="1" si="1"/>
        <v>0</v>
      </c>
      <c r="L17" s="668"/>
      <c r="M17" s="662">
        <f>M16*(1+'اطلاعات ورودی'!$G$22/100)</f>
        <v>224576.74817725879</v>
      </c>
      <c r="N17" s="663"/>
      <c r="O17" s="664"/>
    </row>
    <row r="18" spans="1:29" ht="19.5" thickTop="1" thickBot="1">
      <c r="A18" s="39"/>
      <c r="B18" s="129">
        <v>15</v>
      </c>
      <c r="C18" s="667">
        <f>M18*'اطلاعات ورودی'!$G$6*'اطلاعات ورودی'!$G$21</f>
        <v>3028136728235.1128</v>
      </c>
      <c r="D18" s="668"/>
      <c r="E18" s="672">
        <f>'هزینه متغیر 15 سال'!T20-'هزینه متغیر 15 سال'!G16</f>
        <v>1146742341492.3914</v>
      </c>
      <c r="F18" s="673"/>
      <c r="G18" s="667">
        <f t="shared" si="0"/>
        <v>1881394386742.7214</v>
      </c>
      <c r="H18" s="668"/>
      <c r="I18" s="672">
        <v>0</v>
      </c>
      <c r="J18" s="673"/>
      <c r="K18" s="667">
        <f t="shared" ca="1" si="1"/>
        <v>0</v>
      </c>
      <c r="L18" s="668"/>
      <c r="M18" s="662">
        <f>M17*(1+'اطلاعات ورودی'!$G$22/100)</f>
        <v>258263.26040384758</v>
      </c>
      <c r="N18" s="663"/>
      <c r="O18" s="664"/>
    </row>
    <row r="19" spans="1:29" ht="15.75" thickTop="1">
      <c r="C19" s="679"/>
      <c r="D19" s="679"/>
      <c r="E19" s="674"/>
      <c r="F19" s="674"/>
      <c r="G19" s="674"/>
      <c r="H19" s="674"/>
      <c r="I19" s="674"/>
      <c r="J19" s="674"/>
      <c r="K19" s="674"/>
      <c r="L19" s="674"/>
      <c r="M19" s="674"/>
      <c r="N19" s="674"/>
    </row>
    <row r="22" spans="1:29">
      <c r="G22" s="128"/>
      <c r="H22" s="128"/>
      <c r="I22" s="128"/>
      <c r="Y22" s="128"/>
      <c r="AA22" s="128"/>
      <c r="AB22" s="128"/>
      <c r="AC22" s="128"/>
    </row>
    <row r="23" spans="1:29">
      <c r="Y23" s="128"/>
      <c r="AA23" s="128"/>
      <c r="AB23" s="128"/>
      <c r="AC23" s="128"/>
    </row>
    <row r="24" spans="1:29">
      <c r="Y24" s="128"/>
      <c r="AA24" s="128"/>
      <c r="AB24" s="128"/>
      <c r="AC24" s="128"/>
    </row>
    <row r="25" spans="1:29">
      <c r="Y25" s="128"/>
      <c r="AA25" s="128"/>
      <c r="AB25" s="128"/>
      <c r="AC25" s="128"/>
    </row>
    <row r="26" spans="1:29">
      <c r="Y26" s="128"/>
      <c r="AA26" s="128"/>
      <c r="AB26" s="128"/>
      <c r="AC26" s="128"/>
    </row>
    <row r="27" spans="1:29">
      <c r="Y27" s="128"/>
      <c r="AA27" s="128"/>
      <c r="AB27" s="128"/>
      <c r="AC27" s="128"/>
    </row>
    <row r="28" spans="1:29">
      <c r="Y28" s="128"/>
      <c r="AA28" s="128"/>
      <c r="AB28" s="128"/>
      <c r="AC28" s="128"/>
    </row>
    <row r="29" spans="1:29">
      <c r="N29" s="128"/>
      <c r="P29" s="128"/>
      <c r="Q29" s="128"/>
      <c r="R29" s="128"/>
      <c r="Y29" s="128"/>
      <c r="AA29" s="128"/>
      <c r="AB29" s="128"/>
      <c r="AC29" s="128"/>
    </row>
    <row r="30" spans="1:29">
      <c r="N30" s="128"/>
      <c r="P30" s="128"/>
      <c r="Q30" s="128"/>
      <c r="R30" s="128"/>
      <c r="Y30" s="128"/>
      <c r="AA30" s="128"/>
      <c r="AB30" s="128"/>
      <c r="AC30" s="128"/>
    </row>
    <row r="31" spans="1:29">
      <c r="N31" s="128"/>
      <c r="P31" s="128"/>
      <c r="Q31" s="128"/>
      <c r="R31" s="128"/>
      <c r="Y31" s="128"/>
      <c r="AA31" s="128"/>
      <c r="AB31" s="128"/>
      <c r="AC31" s="128"/>
    </row>
    <row r="32" spans="1:29">
      <c r="N32" s="128"/>
      <c r="P32" s="128"/>
      <c r="Q32" s="128"/>
      <c r="R32" s="128"/>
      <c r="Y32" s="128"/>
      <c r="AA32" s="128"/>
      <c r="AB32" s="128"/>
      <c r="AC32" s="128"/>
    </row>
    <row r="33" spans="14:29">
      <c r="N33" s="128"/>
      <c r="P33" s="128"/>
      <c r="Q33" s="128"/>
      <c r="R33" s="128"/>
      <c r="Y33" s="128"/>
      <c r="AA33" s="128"/>
      <c r="AB33" s="128"/>
      <c r="AC33" s="128"/>
    </row>
    <row r="34" spans="14:29">
      <c r="N34" s="128"/>
      <c r="P34" s="128"/>
      <c r="Q34" s="128"/>
      <c r="R34" s="128"/>
      <c r="Y34" s="128"/>
      <c r="AA34" s="128"/>
      <c r="AB34" s="128"/>
      <c r="AC34" s="128"/>
    </row>
    <row r="35" spans="14:29">
      <c r="N35" s="128"/>
      <c r="P35" s="128"/>
      <c r="Q35" s="128"/>
      <c r="R35" s="128"/>
      <c r="Y35" s="128"/>
      <c r="AA35" s="128"/>
      <c r="AB35" s="128"/>
      <c r="AC35" s="128"/>
    </row>
    <row r="36" spans="14:29">
      <c r="N36" s="128"/>
      <c r="P36" s="128"/>
      <c r="Q36" s="128"/>
      <c r="R36" s="128"/>
      <c r="Y36" s="128"/>
      <c r="AA36" s="128"/>
      <c r="AB36" s="128"/>
      <c r="AC36" s="128"/>
    </row>
    <row r="37" spans="14:29">
      <c r="N37" s="128"/>
      <c r="P37" s="128"/>
      <c r="Q37" s="128"/>
      <c r="R37" s="128"/>
    </row>
    <row r="38" spans="14:29">
      <c r="N38" s="128"/>
      <c r="P38" s="128"/>
      <c r="Q38" s="128"/>
      <c r="R38" s="128"/>
    </row>
    <row r="39" spans="14:29">
      <c r="N39" s="128"/>
      <c r="P39" s="128"/>
      <c r="Q39" s="128"/>
      <c r="R39" s="128"/>
    </row>
    <row r="40" spans="14:29">
      <c r="N40" s="128"/>
      <c r="P40" s="128"/>
      <c r="Q40" s="128"/>
      <c r="R40" s="128"/>
    </row>
    <row r="41" spans="14:29">
      <c r="N41" s="128"/>
      <c r="P41" s="128"/>
      <c r="Q41" s="128"/>
      <c r="R41" s="128"/>
    </row>
    <row r="42" spans="14:29">
      <c r="N42" s="128"/>
      <c r="P42" s="128"/>
      <c r="Q42" s="128"/>
      <c r="R42" s="128"/>
    </row>
    <row r="43" spans="14:29">
      <c r="N43" s="128"/>
      <c r="P43" s="128"/>
      <c r="Q43" s="128"/>
      <c r="R43" s="128"/>
    </row>
  </sheetData>
  <mergeCells count="103">
    <mergeCell ref="C19:D19"/>
    <mergeCell ref="E4:F4"/>
    <mergeCell ref="E5:F5"/>
    <mergeCell ref="E6:F6"/>
    <mergeCell ref="E7:F7"/>
    <mergeCell ref="E8:F8"/>
    <mergeCell ref="E9:F9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  <mergeCell ref="E19:F19"/>
    <mergeCell ref="E10:F10"/>
    <mergeCell ref="E11:F11"/>
    <mergeCell ref="E12:F12"/>
    <mergeCell ref="E13:F13"/>
    <mergeCell ref="G19:H19"/>
    <mergeCell ref="I4:J4"/>
    <mergeCell ref="I5:J5"/>
    <mergeCell ref="I6:J6"/>
    <mergeCell ref="I7:J7"/>
    <mergeCell ref="I8:J8"/>
    <mergeCell ref="I9:J9"/>
    <mergeCell ref="G10:H10"/>
    <mergeCell ref="G11:H11"/>
    <mergeCell ref="G12:H12"/>
    <mergeCell ref="G13:H13"/>
    <mergeCell ref="G14:H14"/>
    <mergeCell ref="G15:H15"/>
    <mergeCell ref="I19:J19"/>
    <mergeCell ref="I13:J13"/>
    <mergeCell ref="I14:J14"/>
    <mergeCell ref="I10:J10"/>
    <mergeCell ref="I11:J11"/>
    <mergeCell ref="I12:J12"/>
    <mergeCell ref="G9:H9"/>
    <mergeCell ref="M19:N19"/>
    <mergeCell ref="M3:O3"/>
    <mergeCell ref="M4:O4"/>
    <mergeCell ref="M5:O5"/>
    <mergeCell ref="M6:O6"/>
    <mergeCell ref="M13:O13"/>
    <mergeCell ref="M14:O14"/>
    <mergeCell ref="M15:O15"/>
    <mergeCell ref="K16:L16"/>
    <mergeCell ref="K17:L17"/>
    <mergeCell ref="K18:L18"/>
    <mergeCell ref="K19:L19"/>
    <mergeCell ref="K10:L10"/>
    <mergeCell ref="K11:L11"/>
    <mergeCell ref="K12:L12"/>
    <mergeCell ref="K13:L13"/>
    <mergeCell ref="K14:L14"/>
    <mergeCell ref="K3:L3"/>
    <mergeCell ref="M18:O18"/>
    <mergeCell ref="K4:L4"/>
    <mergeCell ref="K5:L5"/>
    <mergeCell ref="K6:L6"/>
    <mergeCell ref="C18:D18"/>
    <mergeCell ref="C3:D3"/>
    <mergeCell ref="E3:F3"/>
    <mergeCell ref="I18:J18"/>
    <mergeCell ref="G18:H18"/>
    <mergeCell ref="E18:F18"/>
    <mergeCell ref="G5:H5"/>
    <mergeCell ref="G6:H6"/>
    <mergeCell ref="G3:H3"/>
    <mergeCell ref="I3:J3"/>
    <mergeCell ref="E14:F14"/>
    <mergeCell ref="E15:F15"/>
    <mergeCell ref="G4:H4"/>
    <mergeCell ref="G7:H7"/>
    <mergeCell ref="G8:H8"/>
    <mergeCell ref="B2:O2"/>
    <mergeCell ref="M7:O7"/>
    <mergeCell ref="M8:O8"/>
    <mergeCell ref="M9:O9"/>
    <mergeCell ref="M10:O10"/>
    <mergeCell ref="M11:O11"/>
    <mergeCell ref="M12:O12"/>
    <mergeCell ref="I16:J16"/>
    <mergeCell ref="I17:J17"/>
    <mergeCell ref="G16:H16"/>
    <mergeCell ref="G17:H17"/>
    <mergeCell ref="E16:F16"/>
    <mergeCell ref="E17:F17"/>
    <mergeCell ref="C16:D16"/>
    <mergeCell ref="C17:D17"/>
    <mergeCell ref="K7:L7"/>
    <mergeCell ref="K8:L8"/>
    <mergeCell ref="K9:L9"/>
    <mergeCell ref="I15:J15"/>
    <mergeCell ref="K15:L15"/>
    <mergeCell ref="M16:O16"/>
    <mergeCell ref="M17:O1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rightToLeft="1" zoomScale="90" zoomScaleNormal="90" workbookViewId="0">
      <selection activeCell="H5" sqref="H5:I5"/>
    </sheetView>
  </sheetViews>
  <sheetFormatPr defaultRowHeight="15"/>
  <cols>
    <col min="4" max="4" width="12.28515625" bestFit="1" customWidth="1"/>
    <col min="6" max="6" width="13.42578125" bestFit="1" customWidth="1"/>
    <col min="9" max="9" width="13" bestFit="1" customWidth="1"/>
    <col min="10" max="10" width="13.42578125" bestFit="1" customWidth="1"/>
    <col min="11" max="11" width="10.85546875" bestFit="1" customWidth="1"/>
    <col min="12" max="12" width="13.42578125" bestFit="1" customWidth="1"/>
    <col min="13" max="13" width="13" bestFit="1" customWidth="1"/>
    <col min="15" max="15" width="13.42578125" bestFit="1" customWidth="1"/>
  </cols>
  <sheetData>
    <row r="1" spans="2:15" ht="18.75" thickBot="1">
      <c r="C1" s="58"/>
      <c r="D1" s="58"/>
      <c r="E1" s="58"/>
      <c r="F1" s="58"/>
      <c r="G1" s="58"/>
      <c r="H1" s="58"/>
      <c r="I1" s="58"/>
      <c r="J1" s="58"/>
      <c r="K1" s="58"/>
    </row>
    <row r="2" spans="2:15" ht="21" thickTop="1" thickBot="1">
      <c r="B2" s="39"/>
      <c r="C2" s="380" t="s">
        <v>182</v>
      </c>
      <c r="D2" s="381"/>
      <c r="E2" s="381"/>
      <c r="F2" s="381"/>
      <c r="G2" s="381"/>
      <c r="H2" s="381"/>
      <c r="I2" s="381"/>
      <c r="J2" s="381"/>
      <c r="K2" s="382"/>
    </row>
    <row r="3" spans="2:15" ht="21" thickTop="1" thickBot="1">
      <c r="B3" s="32"/>
      <c r="C3" s="69" t="s">
        <v>14</v>
      </c>
      <c r="D3" s="325" t="s">
        <v>1</v>
      </c>
      <c r="E3" s="327"/>
      <c r="F3" s="325" t="s">
        <v>183</v>
      </c>
      <c r="G3" s="327"/>
      <c r="H3" s="325" t="s">
        <v>184</v>
      </c>
      <c r="I3" s="327"/>
      <c r="J3" s="326" t="s">
        <v>185</v>
      </c>
      <c r="K3" s="327"/>
      <c r="O3" s="128"/>
    </row>
    <row r="4" spans="2:15" ht="19.5" thickTop="1" thickBot="1">
      <c r="B4" s="32"/>
      <c r="C4" s="105">
        <v>1</v>
      </c>
      <c r="D4" s="383" t="s">
        <v>187</v>
      </c>
      <c r="E4" s="376"/>
      <c r="F4" s="384">
        <f>'اطلاعات ورودی'!G55/'اطلاعات ورودی'!G50</f>
        <v>718</v>
      </c>
      <c r="G4" s="385"/>
      <c r="H4" s="379">
        <f>'اطلاعات ورودی'!G39*'اطلاعات ورودی'!G5</f>
        <v>21350000</v>
      </c>
      <c r="I4" s="376"/>
      <c r="J4" s="375">
        <f>F4*H4</f>
        <v>15329300000</v>
      </c>
      <c r="K4" s="376"/>
    </row>
    <row r="5" spans="2:15" ht="19.5" thickTop="1" thickBot="1">
      <c r="B5" s="39"/>
      <c r="C5" s="105">
        <v>2</v>
      </c>
      <c r="D5" s="383" t="s">
        <v>186</v>
      </c>
      <c r="E5" s="376"/>
      <c r="F5" s="384">
        <f>'اطلاعات ورودی'!G56/'اطلاعات ورودی'!G50</f>
        <v>61.75</v>
      </c>
      <c r="G5" s="385"/>
      <c r="H5" s="379">
        <f>'اطلاعات ورودی'!G41*'اطلاعات ورودی'!G5</f>
        <v>18550000</v>
      </c>
      <c r="I5" s="376"/>
      <c r="J5" s="375">
        <f>F5*H5</f>
        <v>1145462500</v>
      </c>
      <c r="K5" s="376"/>
    </row>
    <row r="6" spans="2:15" ht="19.5" thickTop="1" thickBot="1">
      <c r="B6" s="32"/>
      <c r="C6" s="105">
        <v>3</v>
      </c>
      <c r="D6" s="383" t="s">
        <v>188</v>
      </c>
      <c r="E6" s="376"/>
      <c r="F6" s="383">
        <v>11622</v>
      </c>
      <c r="G6" s="376"/>
      <c r="H6" s="379">
        <f>'اطلاعات ورودی'!G42</f>
        <v>223000</v>
      </c>
      <c r="I6" s="376"/>
      <c r="J6" s="375">
        <f>F6*H6</f>
        <v>2591706000</v>
      </c>
      <c r="K6" s="376"/>
    </row>
    <row r="7" spans="2:15" ht="19.5" thickTop="1" thickBot="1">
      <c r="B7" s="39"/>
      <c r="C7" s="193">
        <v>4</v>
      </c>
      <c r="D7" s="395" t="s">
        <v>95</v>
      </c>
      <c r="E7" s="378"/>
      <c r="F7" s="395" t="s">
        <v>109</v>
      </c>
      <c r="G7" s="378"/>
      <c r="H7" s="395" t="s">
        <v>109</v>
      </c>
      <c r="I7" s="378"/>
      <c r="J7" s="377">
        <f>('اطلاعات ورودی'!G28+'اطلاعات ورودی'!G29+'اطلاعات ورودی'!G33-('اطلاعات ورودی'!G39*'اطلاعات ورودی'!G55+'اطلاعات ورودی'!G41*'اطلاعات ورودی'!G56)/'اطلاعات ورودی'!G50/'اطلاعات ورودی'!G6)*'اطلاعات ورودی'!G5*'اطلاعات ورودی'!G6*'اطلاعات ورودی'!G52</f>
        <v>17188004750</v>
      </c>
      <c r="K7" s="378"/>
    </row>
    <row r="8" spans="2:15" ht="19.5" customHeight="1" thickTop="1" thickBot="1">
      <c r="B8" s="39"/>
      <c r="C8" s="386" t="s">
        <v>189</v>
      </c>
      <c r="D8" s="387"/>
      <c r="E8" s="387"/>
      <c r="F8" s="387"/>
      <c r="G8" s="387"/>
      <c r="H8" s="387"/>
      <c r="I8" s="388"/>
      <c r="J8" s="369">
        <f>SUM(J4:J7)</f>
        <v>36254473250</v>
      </c>
      <c r="K8" s="370"/>
    </row>
    <row r="9" spans="2:15" ht="19.5" customHeight="1" thickTop="1" thickBot="1">
      <c r="B9" s="39"/>
      <c r="C9" s="389" t="s">
        <v>190</v>
      </c>
      <c r="D9" s="390"/>
      <c r="E9" s="390"/>
      <c r="F9" s="390"/>
      <c r="G9" s="390"/>
      <c r="H9" s="390"/>
      <c r="I9" s="391"/>
      <c r="J9" s="371">
        <f>SUM(J4:K6)/'اطلاعات ورودی'!G6/'اطلاعات ورودی'!G21</f>
        <v>1626.1380383795308</v>
      </c>
      <c r="K9" s="372"/>
    </row>
    <row r="10" spans="2:15" ht="19.5" customHeight="1" thickTop="1" thickBot="1">
      <c r="B10" s="39"/>
      <c r="C10" s="392" t="s">
        <v>191</v>
      </c>
      <c r="D10" s="393"/>
      <c r="E10" s="393"/>
      <c r="F10" s="393"/>
      <c r="G10" s="393"/>
      <c r="H10" s="393"/>
      <c r="I10" s="394"/>
      <c r="J10" s="373">
        <f>J7/'اطلاعات ورودی'!G6/'اطلاعات ورودی'!G21</f>
        <v>1465.9279104477612</v>
      </c>
      <c r="K10" s="374"/>
    </row>
    <row r="11" spans="2:15" ht="18.75" thickTop="1">
      <c r="C11" s="1"/>
      <c r="D11" s="1"/>
      <c r="E11" s="1"/>
      <c r="F11" s="189"/>
      <c r="G11" s="1"/>
      <c r="H11" s="1"/>
      <c r="I11" s="1"/>
      <c r="J11" s="1"/>
      <c r="K11" s="1"/>
    </row>
    <row r="12" spans="2:15" ht="18">
      <c r="B12" s="32"/>
      <c r="C12" s="190"/>
    </row>
    <row r="15" spans="2:15">
      <c r="L15" s="128"/>
    </row>
    <row r="16" spans="2:15">
      <c r="L16" s="128"/>
    </row>
    <row r="17" spans="12:12">
      <c r="L17" s="128"/>
    </row>
  </sheetData>
  <mergeCells count="27">
    <mergeCell ref="C8:I8"/>
    <mergeCell ref="C9:I9"/>
    <mergeCell ref="C10:I10"/>
    <mergeCell ref="D6:E6"/>
    <mergeCell ref="D7:E7"/>
    <mergeCell ref="F6:G6"/>
    <mergeCell ref="F7:G7"/>
    <mergeCell ref="H6:I6"/>
    <mergeCell ref="H7:I7"/>
    <mergeCell ref="H4:I4"/>
    <mergeCell ref="H5:I5"/>
    <mergeCell ref="C2:K2"/>
    <mergeCell ref="D4:E4"/>
    <mergeCell ref="D5:E5"/>
    <mergeCell ref="D3:E3"/>
    <mergeCell ref="F3:G3"/>
    <mergeCell ref="H3:I3"/>
    <mergeCell ref="J3:K3"/>
    <mergeCell ref="F4:G4"/>
    <mergeCell ref="F5:G5"/>
    <mergeCell ref="J8:K8"/>
    <mergeCell ref="J9:K9"/>
    <mergeCell ref="J10:K10"/>
    <mergeCell ref="J4:K4"/>
    <mergeCell ref="J5:K5"/>
    <mergeCell ref="J6:K6"/>
    <mergeCell ref="J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topLeftCell="A14" zoomScaleNormal="100" workbookViewId="0">
      <selection activeCell="I28" sqref="I28"/>
    </sheetView>
  </sheetViews>
  <sheetFormatPr defaultRowHeight="15"/>
  <cols>
    <col min="9" max="9" width="13.42578125" bestFit="1" customWidth="1"/>
    <col min="13" max="13" width="13.42578125" bestFit="1" customWidth="1"/>
    <col min="16" max="16" width="11.85546875" bestFit="1" customWidth="1"/>
  </cols>
  <sheetData>
    <row r="1" spans="1:13" ht="18.75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thickTop="1" thickBot="1">
      <c r="A2" s="39"/>
      <c r="B2" s="405" t="s">
        <v>192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7"/>
    </row>
    <row r="3" spans="1:13" ht="21" thickTop="1" thickBot="1">
      <c r="A3" s="39"/>
      <c r="B3" s="121" t="s">
        <v>14</v>
      </c>
      <c r="C3" s="412" t="s">
        <v>1</v>
      </c>
      <c r="D3" s="412"/>
      <c r="E3" s="412"/>
      <c r="F3" s="412" t="s">
        <v>201</v>
      </c>
      <c r="G3" s="412"/>
      <c r="H3" s="119" t="s">
        <v>202</v>
      </c>
      <c r="I3" s="412" t="s">
        <v>203</v>
      </c>
      <c r="J3" s="412"/>
      <c r="K3" s="412"/>
      <c r="L3" s="119" t="s">
        <v>204</v>
      </c>
      <c r="M3" s="120" t="s">
        <v>185</v>
      </c>
    </row>
    <row r="4" spans="1:13" ht="18.75" thickTop="1">
      <c r="A4" s="39"/>
      <c r="B4" s="118">
        <v>1</v>
      </c>
      <c r="C4" s="413" t="s">
        <v>193</v>
      </c>
      <c r="D4" s="413"/>
      <c r="E4" s="413"/>
      <c r="F4" s="413" t="s">
        <v>109</v>
      </c>
      <c r="G4" s="413"/>
      <c r="H4" s="122">
        <v>65</v>
      </c>
      <c r="I4" s="414">
        <v>0</v>
      </c>
      <c r="J4" s="414"/>
      <c r="K4" s="414"/>
      <c r="L4" s="196">
        <v>333000</v>
      </c>
      <c r="M4" s="123">
        <v>0</v>
      </c>
    </row>
    <row r="5" spans="1:13" ht="18">
      <c r="A5" s="39"/>
      <c r="B5" s="100">
        <v>2</v>
      </c>
      <c r="C5" s="398" t="s">
        <v>194</v>
      </c>
      <c r="D5" s="398"/>
      <c r="E5" s="398"/>
      <c r="F5" s="398">
        <v>2.5</v>
      </c>
      <c r="G5" s="398"/>
      <c r="H5" s="114">
        <v>100</v>
      </c>
      <c r="I5" s="400">
        <f>167500/2</f>
        <v>83750</v>
      </c>
      <c r="J5" s="400"/>
      <c r="K5" s="400"/>
      <c r="L5" s="197">
        <v>0</v>
      </c>
      <c r="M5" s="124">
        <v>0</v>
      </c>
    </row>
    <row r="6" spans="1:13" ht="18">
      <c r="A6" s="39"/>
      <c r="B6" s="100">
        <v>3</v>
      </c>
      <c r="C6" s="398" t="s">
        <v>195</v>
      </c>
      <c r="D6" s="398"/>
      <c r="E6" s="398"/>
      <c r="F6" s="398" t="s">
        <v>109</v>
      </c>
      <c r="G6" s="398"/>
      <c r="H6" s="114">
        <v>98</v>
      </c>
      <c r="I6" s="400">
        <v>0</v>
      </c>
      <c r="J6" s="400"/>
      <c r="K6" s="400"/>
      <c r="L6" s="197">
        <v>6000</v>
      </c>
      <c r="M6" s="124">
        <v>0</v>
      </c>
    </row>
    <row r="7" spans="1:13" ht="18">
      <c r="A7" s="39"/>
      <c r="B7" s="100">
        <v>4</v>
      </c>
      <c r="C7" s="398" t="s">
        <v>196</v>
      </c>
      <c r="D7" s="398"/>
      <c r="E7" s="398"/>
      <c r="F7" s="398">
        <v>2</v>
      </c>
      <c r="G7" s="398"/>
      <c r="H7" s="114">
        <v>100</v>
      </c>
      <c r="I7" s="400">
        <f>134000/2</f>
        <v>67000</v>
      </c>
      <c r="J7" s="400"/>
      <c r="K7" s="400"/>
      <c r="L7" s="197">
        <v>125000</v>
      </c>
      <c r="M7" s="78">
        <f>L7*I7</f>
        <v>8375000000</v>
      </c>
    </row>
    <row r="8" spans="1:13" ht="18">
      <c r="A8" s="39"/>
      <c r="B8" s="100">
        <v>5</v>
      </c>
      <c r="C8" s="398" t="s">
        <v>197</v>
      </c>
      <c r="D8" s="398"/>
      <c r="E8" s="398"/>
      <c r="F8" s="398">
        <v>3</v>
      </c>
      <c r="G8" s="398"/>
      <c r="H8" s="114">
        <v>98</v>
      </c>
      <c r="I8" s="400">
        <f>205102/2</f>
        <v>102551</v>
      </c>
      <c r="J8" s="400"/>
      <c r="K8" s="400"/>
      <c r="L8" s="197">
        <v>30000</v>
      </c>
      <c r="M8" s="78">
        <f t="shared" ref="M8:M10" si="0">L8*I8</f>
        <v>3076530000</v>
      </c>
    </row>
    <row r="9" spans="1:13" ht="18">
      <c r="A9" s="39"/>
      <c r="B9" s="100">
        <v>6</v>
      </c>
      <c r="C9" s="398" t="s">
        <v>198</v>
      </c>
      <c r="D9" s="398"/>
      <c r="E9" s="398"/>
      <c r="F9" s="398">
        <v>4</v>
      </c>
      <c r="G9" s="398"/>
      <c r="H9" s="114">
        <v>98</v>
      </c>
      <c r="I9" s="400">
        <f>95714/2</f>
        <v>47857</v>
      </c>
      <c r="J9" s="400"/>
      <c r="K9" s="400"/>
      <c r="L9" s="197">
        <v>18000</v>
      </c>
      <c r="M9" s="78">
        <f t="shared" si="0"/>
        <v>861426000</v>
      </c>
    </row>
    <row r="10" spans="1:13" ht="18">
      <c r="A10" s="39"/>
      <c r="B10" s="100">
        <v>7</v>
      </c>
      <c r="C10" s="398" t="s">
        <v>199</v>
      </c>
      <c r="D10" s="398"/>
      <c r="E10" s="398"/>
      <c r="F10" s="398">
        <v>100</v>
      </c>
      <c r="G10" s="398"/>
      <c r="H10" s="114">
        <v>96</v>
      </c>
      <c r="I10" s="400">
        <f>2442708/2</f>
        <v>1221354</v>
      </c>
      <c r="J10" s="400"/>
      <c r="K10" s="400"/>
      <c r="L10" s="197">
        <v>3300</v>
      </c>
      <c r="M10" s="78">
        <f t="shared" si="0"/>
        <v>4030468200</v>
      </c>
    </row>
    <row r="11" spans="1:13" ht="18.75" thickBot="1">
      <c r="A11" s="39"/>
      <c r="B11" s="117">
        <v>8</v>
      </c>
      <c r="C11" s="399" t="s">
        <v>200</v>
      </c>
      <c r="D11" s="399"/>
      <c r="E11" s="399"/>
      <c r="F11" s="399" t="s">
        <v>109</v>
      </c>
      <c r="G11" s="399"/>
      <c r="H11" s="116">
        <v>100</v>
      </c>
      <c r="I11" s="401">
        <v>0</v>
      </c>
      <c r="J11" s="401"/>
      <c r="K11" s="401"/>
      <c r="L11" s="198">
        <v>30000</v>
      </c>
      <c r="M11" s="125">
        <v>0</v>
      </c>
    </row>
    <row r="12" spans="1:13" ht="21" thickTop="1" thickBot="1">
      <c r="A12" s="39"/>
      <c r="B12" s="402" t="s">
        <v>205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4"/>
      <c r="M12" s="91">
        <f>SUM(M4:M11)</f>
        <v>16343424200</v>
      </c>
    </row>
    <row r="13" spans="1:13" ht="18.75" thickTop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8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8.75" thickBo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2.5" thickTop="1" thickBot="1">
      <c r="B16" s="405" t="s">
        <v>206</v>
      </c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13" ht="21" thickTop="1" thickBot="1">
      <c r="B17" s="262" t="s">
        <v>14</v>
      </c>
      <c r="C17" s="408" t="s">
        <v>1</v>
      </c>
      <c r="D17" s="408"/>
      <c r="E17" s="408"/>
      <c r="F17" s="408"/>
      <c r="G17" s="408"/>
      <c r="H17" s="263" t="s">
        <v>202</v>
      </c>
      <c r="I17" s="408" t="s">
        <v>203</v>
      </c>
      <c r="J17" s="408"/>
      <c r="K17" s="408"/>
      <c r="L17" s="263" t="s">
        <v>204</v>
      </c>
      <c r="M17" s="264" t="s">
        <v>185</v>
      </c>
    </row>
    <row r="18" spans="1:13" ht="18.75" thickTop="1">
      <c r="A18" s="39"/>
      <c r="B18" s="265">
        <v>1</v>
      </c>
      <c r="C18" s="409" t="s">
        <v>197</v>
      </c>
      <c r="D18" s="409"/>
      <c r="E18" s="409"/>
      <c r="F18" s="410"/>
      <c r="G18" s="410"/>
      <c r="H18" s="266">
        <v>98</v>
      </c>
      <c r="I18" s="411">
        <f>22857.1/2</f>
        <v>11428.55</v>
      </c>
      <c r="J18" s="411"/>
      <c r="K18" s="411"/>
      <c r="L18" s="267">
        <v>30000</v>
      </c>
      <c r="M18" s="268">
        <f>L18*I18</f>
        <v>342856500</v>
      </c>
    </row>
    <row r="19" spans="1:13" ht="18">
      <c r="A19" s="39"/>
      <c r="B19" s="269">
        <v>2</v>
      </c>
      <c r="C19" s="409" t="s">
        <v>198</v>
      </c>
      <c r="D19" s="409"/>
      <c r="E19" s="409"/>
      <c r="F19" s="409"/>
      <c r="G19" s="409"/>
      <c r="H19" s="270">
        <v>98</v>
      </c>
      <c r="I19" s="415">
        <f>17142.9/2</f>
        <v>8571.4500000000007</v>
      </c>
      <c r="J19" s="415"/>
      <c r="K19" s="415"/>
      <c r="L19" s="267">
        <v>18000</v>
      </c>
      <c r="M19" s="268">
        <f t="shared" ref="M19:M23" si="1">L19*I19</f>
        <v>154286100</v>
      </c>
    </row>
    <row r="20" spans="1:13" ht="18">
      <c r="B20" s="271">
        <v>3</v>
      </c>
      <c r="C20" s="409" t="s">
        <v>207</v>
      </c>
      <c r="D20" s="409"/>
      <c r="E20" s="409"/>
      <c r="F20" s="409"/>
      <c r="G20" s="409"/>
      <c r="H20" s="270">
        <v>98</v>
      </c>
      <c r="I20" s="415">
        <f>6857.1/2</f>
        <v>3428.55</v>
      </c>
      <c r="J20" s="415"/>
      <c r="K20" s="415"/>
      <c r="L20" s="267">
        <v>36000</v>
      </c>
      <c r="M20" s="268">
        <f t="shared" si="1"/>
        <v>123427800</v>
      </c>
    </row>
    <row r="21" spans="1:13" ht="18">
      <c r="B21" s="271">
        <v>4</v>
      </c>
      <c r="C21" s="409" t="s">
        <v>208</v>
      </c>
      <c r="D21" s="409"/>
      <c r="E21" s="409"/>
      <c r="F21" s="409"/>
      <c r="G21" s="409"/>
      <c r="H21" s="270">
        <v>100</v>
      </c>
      <c r="I21" s="415">
        <f>5600/2</f>
        <v>2800</v>
      </c>
      <c r="J21" s="415"/>
      <c r="K21" s="415"/>
      <c r="L21" s="267">
        <v>90000</v>
      </c>
      <c r="M21" s="268">
        <f t="shared" si="1"/>
        <v>252000000</v>
      </c>
    </row>
    <row r="22" spans="1:13" ht="18">
      <c r="B22" s="271">
        <v>5</v>
      </c>
      <c r="C22" s="423" t="s">
        <v>209</v>
      </c>
      <c r="D22" s="409"/>
      <c r="E22" s="409"/>
      <c r="F22" s="409"/>
      <c r="G22" s="409"/>
      <c r="H22" s="270">
        <v>98</v>
      </c>
      <c r="I22" s="415">
        <f>11428.6/2</f>
        <v>5714.3</v>
      </c>
      <c r="J22" s="415"/>
      <c r="K22" s="415"/>
      <c r="L22" s="267">
        <v>270000</v>
      </c>
      <c r="M22" s="268">
        <f t="shared" si="1"/>
        <v>1542861000</v>
      </c>
    </row>
    <row r="23" spans="1:13" ht="18.75" thickBot="1">
      <c r="B23" s="272">
        <v>6</v>
      </c>
      <c r="C23" s="409" t="s">
        <v>210</v>
      </c>
      <c r="D23" s="409"/>
      <c r="E23" s="409"/>
      <c r="F23" s="409"/>
      <c r="G23" s="409"/>
      <c r="H23" s="270">
        <v>37</v>
      </c>
      <c r="I23" s="415">
        <f>60540.5/2</f>
        <v>30270.25</v>
      </c>
      <c r="J23" s="415"/>
      <c r="K23" s="415"/>
      <c r="L23" s="267">
        <v>63000</v>
      </c>
      <c r="M23" s="268">
        <f t="shared" si="1"/>
        <v>1907025750</v>
      </c>
    </row>
    <row r="24" spans="1:13" ht="21" thickTop="1" thickBot="1">
      <c r="B24" s="416" t="s">
        <v>211</v>
      </c>
      <c r="C24" s="417"/>
      <c r="D24" s="417"/>
      <c r="E24" s="417"/>
      <c r="F24" s="417"/>
      <c r="G24" s="417"/>
      <c r="H24" s="417"/>
      <c r="I24" s="417"/>
      <c r="J24" s="417"/>
      <c r="K24" s="417"/>
      <c r="L24" s="418"/>
      <c r="M24" s="273">
        <f>SUM(M18:M23)</f>
        <v>4322457150</v>
      </c>
    </row>
    <row r="25" spans="1:13" ht="19.5" thickTop="1" thickBot="1">
      <c r="B25" s="274"/>
      <c r="C25" s="274"/>
      <c r="D25" s="274"/>
      <c r="E25" s="275"/>
      <c r="F25" s="276"/>
      <c r="G25" s="276"/>
      <c r="H25" s="275"/>
      <c r="I25" s="275"/>
      <c r="J25" s="276"/>
      <c r="K25" s="274"/>
      <c r="L25" s="274"/>
      <c r="M25" s="274"/>
    </row>
    <row r="26" spans="1:13" ht="19.5" thickTop="1" thickBot="1">
      <c r="B26" s="277"/>
      <c r="C26" s="274"/>
      <c r="D26" s="419" t="s">
        <v>212</v>
      </c>
      <c r="E26" s="419"/>
      <c r="F26" s="419"/>
      <c r="G26" s="419"/>
      <c r="H26" s="420"/>
      <c r="I26" s="278">
        <f>M12+M24</f>
        <v>20665881350</v>
      </c>
      <c r="J26" s="279" t="s">
        <v>82</v>
      </c>
      <c r="K26" s="274"/>
      <c r="L26" s="274"/>
      <c r="M26" s="274"/>
    </row>
    <row r="27" spans="1:13" ht="19.5" thickTop="1" thickBot="1">
      <c r="B27" s="277"/>
      <c r="C27" s="277"/>
      <c r="D27" s="421" t="s">
        <v>213</v>
      </c>
      <c r="E27" s="421"/>
      <c r="F27" s="421"/>
      <c r="G27" s="421"/>
      <c r="H27" s="422"/>
      <c r="I27" s="280">
        <v>6338901829</v>
      </c>
      <c r="J27" s="279" t="s">
        <v>82</v>
      </c>
      <c r="K27" s="277"/>
      <c r="L27" s="277"/>
      <c r="M27" s="277"/>
    </row>
    <row r="28" spans="1:13" ht="19.5" thickTop="1" thickBot="1">
      <c r="B28" s="277"/>
      <c r="C28" s="277"/>
      <c r="D28" s="396" t="s">
        <v>229</v>
      </c>
      <c r="E28" s="396"/>
      <c r="F28" s="396"/>
      <c r="G28" s="396"/>
      <c r="H28" s="396"/>
      <c r="I28" s="281">
        <f>I26+I27</f>
        <v>27004783179</v>
      </c>
      <c r="J28" s="279" t="s">
        <v>82</v>
      </c>
      <c r="K28" s="277"/>
      <c r="L28" s="277"/>
      <c r="M28" s="277"/>
    </row>
    <row r="29" spans="1:13" ht="19.5" thickTop="1" thickBot="1">
      <c r="B29" s="277"/>
      <c r="C29" s="277"/>
      <c r="D29" s="396" t="s">
        <v>230</v>
      </c>
      <c r="E29" s="396"/>
      <c r="F29" s="396"/>
      <c r="G29" s="396"/>
      <c r="H29" s="396"/>
      <c r="I29" s="281">
        <f>I28/'اطلاعات ورودی'!G6/'اطلاعات ورودی'!G21</f>
        <v>2303.1798020469082</v>
      </c>
      <c r="J29" s="277"/>
      <c r="K29" s="277"/>
      <c r="L29" s="277"/>
      <c r="M29" s="277"/>
    </row>
    <row r="30" spans="1:13" ht="15.75" thickTop="1"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</row>
    <row r="31" spans="1:13" ht="19.5">
      <c r="D31" s="397" t="s">
        <v>231</v>
      </c>
      <c r="E31" s="397"/>
      <c r="F31" s="397"/>
      <c r="G31" s="397"/>
      <c r="H31" s="397"/>
      <c r="I31" s="397"/>
      <c r="J31" s="397"/>
    </row>
  </sheetData>
  <mergeCells count="57">
    <mergeCell ref="B24:L24"/>
    <mergeCell ref="D26:H26"/>
    <mergeCell ref="D27:H27"/>
    <mergeCell ref="C22:E22"/>
    <mergeCell ref="F22:G22"/>
    <mergeCell ref="I22:K22"/>
    <mergeCell ref="C23:E23"/>
    <mergeCell ref="F23:G23"/>
    <mergeCell ref="I23:K23"/>
    <mergeCell ref="I19:K19"/>
    <mergeCell ref="C20:E20"/>
    <mergeCell ref="F20:G20"/>
    <mergeCell ref="I20:K20"/>
    <mergeCell ref="C21:E21"/>
    <mergeCell ref="F21:G21"/>
    <mergeCell ref="I21:K21"/>
    <mergeCell ref="C19:E19"/>
    <mergeCell ref="F19:G19"/>
    <mergeCell ref="B2:M2"/>
    <mergeCell ref="F9:G9"/>
    <mergeCell ref="F10:G10"/>
    <mergeCell ref="F11:G11"/>
    <mergeCell ref="I3:K3"/>
    <mergeCell ref="I4:K4"/>
    <mergeCell ref="I5:K5"/>
    <mergeCell ref="I6:K6"/>
    <mergeCell ref="I7:K7"/>
    <mergeCell ref="I8:K8"/>
    <mergeCell ref="I9:K9"/>
    <mergeCell ref="F3:G3"/>
    <mergeCell ref="F4:G4"/>
    <mergeCell ref="F8:G8"/>
    <mergeCell ref="C5:E5"/>
    <mergeCell ref="C6:E6"/>
    <mergeCell ref="C7:E7"/>
    <mergeCell ref="C8:E8"/>
    <mergeCell ref="C3:E3"/>
    <mergeCell ref="C4:E4"/>
    <mergeCell ref="F5:G5"/>
    <mergeCell ref="F6:G6"/>
    <mergeCell ref="F7:G7"/>
    <mergeCell ref="D28:H28"/>
    <mergeCell ref="D29:H29"/>
    <mergeCell ref="D31:J31"/>
    <mergeCell ref="C9:E9"/>
    <mergeCell ref="C10:E10"/>
    <mergeCell ref="C11:E11"/>
    <mergeCell ref="I10:K10"/>
    <mergeCell ref="I11:K11"/>
    <mergeCell ref="B12:L12"/>
    <mergeCell ref="B16:M16"/>
    <mergeCell ref="C17:E17"/>
    <mergeCell ref="F17:G17"/>
    <mergeCell ref="I17:K17"/>
    <mergeCell ref="C18:E18"/>
    <mergeCell ref="F18:G18"/>
    <mergeCell ref="I18:K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rightToLeft="1" topLeftCell="A51" workbookViewId="0">
      <selection activeCell="O19" sqref="O19"/>
    </sheetView>
  </sheetViews>
  <sheetFormatPr defaultColWidth="9" defaultRowHeight="18"/>
  <cols>
    <col min="1" max="1" width="9" style="1"/>
    <col min="2" max="2" width="10.140625" style="1" customWidth="1"/>
    <col min="3" max="3" width="9" style="1"/>
    <col min="4" max="4" width="10.85546875" style="1" customWidth="1"/>
    <col min="5" max="5" width="11.5703125" style="1" customWidth="1"/>
    <col min="6" max="6" width="8.28515625" style="1" customWidth="1"/>
    <col min="7" max="7" width="9.5703125" style="1" customWidth="1"/>
    <col min="8" max="8" width="9.85546875" style="1" customWidth="1"/>
    <col min="9" max="9" width="10.85546875" style="1" customWidth="1"/>
    <col min="10" max="13" width="9" style="1"/>
    <col min="14" max="14" width="10.42578125" style="1" bestFit="1" customWidth="1"/>
    <col min="15" max="15" width="17.140625" style="1" bestFit="1" customWidth="1"/>
    <col min="16" max="16" width="10.7109375" style="1" bestFit="1" customWidth="1"/>
    <col min="17" max="16384" width="9" style="1"/>
  </cols>
  <sheetData>
    <row r="1" spans="1:15" ht="30.75" customHeight="1">
      <c r="B1" s="424" t="s">
        <v>253</v>
      </c>
      <c r="C1" s="425"/>
      <c r="D1" s="425"/>
      <c r="E1" s="425"/>
      <c r="F1" s="425"/>
      <c r="G1" s="425"/>
      <c r="H1" s="425"/>
      <c r="I1" s="425"/>
      <c r="J1" s="425"/>
      <c r="K1" s="425"/>
      <c r="L1" s="426"/>
    </row>
    <row r="2" spans="1:15" ht="18.75" thickBot="1">
      <c r="A2" s="213"/>
      <c r="B2" s="427"/>
      <c r="C2" s="428"/>
      <c r="D2" s="428"/>
      <c r="E2" s="428"/>
      <c r="F2" s="428"/>
      <c r="G2" s="428"/>
      <c r="H2" s="428"/>
      <c r="I2" s="428"/>
      <c r="J2" s="428"/>
      <c r="K2" s="428"/>
      <c r="L2" s="429"/>
    </row>
    <row r="3" spans="1:15" ht="21.75" thickBot="1">
      <c r="A3" s="213"/>
      <c r="B3" s="430" t="s">
        <v>232</v>
      </c>
      <c r="C3" s="431"/>
      <c r="D3" s="431"/>
      <c r="E3" s="431"/>
      <c r="F3" s="431"/>
      <c r="G3" s="431"/>
      <c r="H3" s="431"/>
      <c r="I3" s="431"/>
      <c r="J3" s="431"/>
      <c r="K3" s="431"/>
      <c r="L3" s="432"/>
    </row>
    <row r="4" spans="1:15" ht="18.75" thickBot="1">
      <c r="A4" s="213"/>
      <c r="B4" s="452" t="s">
        <v>235</v>
      </c>
      <c r="C4" s="453"/>
      <c r="D4" s="454"/>
      <c r="E4" s="239"/>
      <c r="F4" s="247" t="s">
        <v>237</v>
      </c>
      <c r="G4" s="245"/>
      <c r="H4" s="246" t="s">
        <v>238</v>
      </c>
      <c r="I4" s="34"/>
      <c r="J4" s="247" t="s">
        <v>239</v>
      </c>
      <c r="K4" s="245"/>
      <c r="L4" s="248" t="s">
        <v>238</v>
      </c>
    </row>
    <row r="5" spans="1:15">
      <c r="A5" s="213"/>
      <c r="B5" s="455" t="s">
        <v>236</v>
      </c>
      <c r="C5" s="455"/>
      <c r="D5" s="456"/>
      <c r="L5" s="213"/>
    </row>
    <row r="6" spans="1:15">
      <c r="A6" s="213"/>
      <c r="D6" s="213"/>
      <c r="L6" s="213"/>
    </row>
    <row r="7" spans="1:15" ht="18.75" thickBot="1">
      <c r="A7" s="213"/>
      <c r="D7" s="213"/>
      <c r="L7" s="8"/>
      <c r="N7" s="249"/>
      <c r="O7" s="249"/>
    </row>
    <row r="8" spans="1:15" ht="18.75" thickBot="1">
      <c r="B8" s="215" t="s">
        <v>240</v>
      </c>
      <c r="C8" s="212"/>
      <c r="D8" s="216"/>
      <c r="E8" s="460" t="s">
        <v>241</v>
      </c>
      <c r="F8" s="461"/>
      <c r="G8" s="461"/>
      <c r="H8" s="461"/>
      <c r="I8" s="461"/>
      <c r="J8" s="461"/>
      <c r="K8" s="461"/>
      <c r="L8" s="462"/>
      <c r="M8" s="18"/>
    </row>
    <row r="9" spans="1:15" ht="18.75" thickBot="1">
      <c r="A9" s="16"/>
      <c r="B9" s="463" t="s">
        <v>242</v>
      </c>
      <c r="C9" s="464"/>
      <c r="D9" s="465"/>
      <c r="E9" s="457">
        <v>100000000000</v>
      </c>
      <c r="F9" s="458"/>
      <c r="G9" s="459"/>
      <c r="H9" s="466" t="s">
        <v>82</v>
      </c>
      <c r="I9" s="467"/>
      <c r="J9" s="467"/>
      <c r="K9" s="467"/>
      <c r="L9" s="468"/>
    </row>
    <row r="10" spans="1:15">
      <c r="A10" s="16"/>
      <c r="B10" s="487" t="s">
        <v>119</v>
      </c>
      <c r="C10" s="488"/>
      <c r="D10" s="488"/>
      <c r="E10" s="489"/>
      <c r="F10" s="493">
        <f>'اطلاعات ورودی'!G12</f>
        <v>4.5</v>
      </c>
      <c r="G10" s="494"/>
      <c r="H10" s="487" t="s">
        <v>243</v>
      </c>
      <c r="I10" s="488"/>
      <c r="J10" s="488"/>
      <c r="K10" s="488"/>
      <c r="L10" s="497"/>
    </row>
    <row r="11" spans="1:15" ht="18.75" thickBot="1">
      <c r="A11" s="16"/>
      <c r="B11" s="490"/>
      <c r="C11" s="491"/>
      <c r="D11" s="491"/>
      <c r="E11" s="492"/>
      <c r="F11" s="495"/>
      <c r="G11" s="496"/>
      <c r="H11" s="490"/>
      <c r="I11" s="491"/>
      <c r="J11" s="491"/>
      <c r="K11" s="491"/>
      <c r="L11" s="498"/>
    </row>
    <row r="12" spans="1:15" ht="18.75" thickBot="1">
      <c r="A12" s="16"/>
      <c r="B12" s="477" t="s">
        <v>244</v>
      </c>
      <c r="C12" s="478"/>
      <c r="D12" s="478"/>
      <c r="E12" s="479"/>
      <c r="F12" s="503">
        <f>F10*24*30</f>
        <v>3240</v>
      </c>
      <c r="G12" s="500"/>
      <c r="H12" s="466" t="s">
        <v>245</v>
      </c>
      <c r="I12" s="467"/>
      <c r="J12" s="467"/>
      <c r="K12" s="467"/>
      <c r="L12" s="468"/>
    </row>
    <row r="13" spans="1:15" ht="18.75" thickBot="1">
      <c r="A13" s="16"/>
      <c r="B13" s="477" t="s">
        <v>246</v>
      </c>
      <c r="C13" s="478"/>
      <c r="D13" s="478"/>
      <c r="E13" s="479"/>
      <c r="F13" s="503">
        <v>21000</v>
      </c>
      <c r="G13" s="500"/>
      <c r="H13" s="466" t="s">
        <v>247</v>
      </c>
      <c r="I13" s="467"/>
      <c r="J13" s="467"/>
      <c r="K13" s="467"/>
      <c r="L13" s="468"/>
    </row>
    <row r="14" spans="1:15" ht="18.75" thickBot="1">
      <c r="A14" s="16"/>
      <c r="B14" s="477" t="s">
        <v>248</v>
      </c>
      <c r="C14" s="478"/>
      <c r="D14" s="478"/>
      <c r="E14" s="479"/>
      <c r="F14" s="503">
        <v>17856</v>
      </c>
      <c r="G14" s="500"/>
      <c r="H14" s="466" t="s">
        <v>238</v>
      </c>
      <c r="I14" s="467"/>
      <c r="J14" s="467"/>
      <c r="K14" s="467"/>
      <c r="L14" s="468"/>
    </row>
    <row r="15" spans="1:15" ht="18.75" thickBot="1">
      <c r="A15" s="16"/>
      <c r="B15" s="477" t="s">
        <v>249</v>
      </c>
      <c r="C15" s="478"/>
      <c r="D15" s="478"/>
      <c r="E15" s="479"/>
      <c r="F15" s="503">
        <v>283</v>
      </c>
      <c r="G15" s="500"/>
      <c r="H15" s="466" t="s">
        <v>250</v>
      </c>
      <c r="I15" s="467"/>
      <c r="J15" s="467"/>
      <c r="K15" s="467"/>
      <c r="L15" s="468"/>
    </row>
    <row r="16" spans="1:15" ht="18.75" thickBot="1">
      <c r="A16" s="16"/>
      <c r="B16" s="480" t="s">
        <v>251</v>
      </c>
      <c r="C16" s="481"/>
      <c r="D16" s="481"/>
      <c r="E16" s="482"/>
      <c r="F16" s="501">
        <f>F17*'اطلاعات ورودی'!G21*'اطلاعات ورودی'!G16</f>
        <v>18121155000</v>
      </c>
      <c r="G16" s="502"/>
      <c r="H16" s="474" t="s">
        <v>82</v>
      </c>
      <c r="I16" s="475"/>
      <c r="J16" s="475"/>
      <c r="K16" s="475"/>
      <c r="L16" s="476"/>
    </row>
    <row r="17" spans="1:12" ht="18.75" thickBot="1">
      <c r="A17" s="16"/>
      <c r="B17" s="477" t="s">
        <v>252</v>
      </c>
      <c r="C17" s="478"/>
      <c r="D17" s="478"/>
      <c r="E17" s="479"/>
      <c r="F17" s="499">
        <v>1482</v>
      </c>
      <c r="G17" s="500"/>
      <c r="H17" s="466" t="s">
        <v>82</v>
      </c>
      <c r="I17" s="467"/>
      <c r="J17" s="467"/>
      <c r="K17" s="467"/>
      <c r="L17" s="468"/>
    </row>
    <row r="18" spans="1:12">
      <c r="G18" s="16"/>
    </row>
    <row r="19" spans="1:12" ht="18.75" thickBo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1.75" thickBot="1">
      <c r="A20" s="213"/>
      <c r="B20" s="430" t="s">
        <v>254</v>
      </c>
      <c r="C20" s="431"/>
      <c r="D20" s="431"/>
      <c r="E20" s="431"/>
      <c r="F20" s="431"/>
      <c r="G20" s="431"/>
      <c r="H20" s="431"/>
      <c r="I20" s="431"/>
      <c r="J20" s="431"/>
      <c r="K20" s="431"/>
      <c r="L20" s="432"/>
    </row>
    <row r="21" spans="1:12">
      <c r="A21" s="213"/>
      <c r="B21" s="513" t="s">
        <v>255</v>
      </c>
      <c r="C21" s="488"/>
      <c r="D21" s="488"/>
      <c r="E21" s="497"/>
      <c r="F21" s="508">
        <v>14400</v>
      </c>
      <c r="G21" s="509"/>
      <c r="H21" s="455" t="s">
        <v>256</v>
      </c>
      <c r="I21" s="455"/>
      <c r="J21" s="455"/>
      <c r="K21" s="455"/>
      <c r="L21" s="456"/>
    </row>
    <row r="22" spans="1:12">
      <c r="A22" s="213"/>
      <c r="B22" s="514" t="s">
        <v>257</v>
      </c>
      <c r="C22" s="310"/>
      <c r="D22" s="310"/>
      <c r="E22" s="515"/>
      <c r="F22" s="455" t="s">
        <v>109</v>
      </c>
      <c r="G22" s="456"/>
      <c r="H22" s="455" t="s">
        <v>82</v>
      </c>
      <c r="I22" s="455"/>
      <c r="J22" s="455"/>
      <c r="K22" s="455"/>
      <c r="L22" s="456"/>
    </row>
    <row r="23" spans="1:12">
      <c r="A23" s="213"/>
      <c r="B23" s="514" t="s">
        <v>258</v>
      </c>
      <c r="C23" s="310"/>
      <c r="D23" s="310"/>
      <c r="E23" s="515"/>
      <c r="F23" s="455" t="s">
        <v>109</v>
      </c>
      <c r="G23" s="456"/>
      <c r="H23" s="455" t="s">
        <v>82</v>
      </c>
      <c r="I23" s="455"/>
      <c r="J23" s="455"/>
      <c r="K23" s="455"/>
      <c r="L23" s="456"/>
    </row>
    <row r="24" spans="1:12">
      <c r="A24" s="213"/>
      <c r="B24" s="514" t="s">
        <v>259</v>
      </c>
      <c r="C24" s="310"/>
      <c r="D24" s="310"/>
      <c r="E24" s="515"/>
      <c r="F24" s="455" t="s">
        <v>109</v>
      </c>
      <c r="G24" s="456"/>
      <c r="H24" s="455" t="s">
        <v>178</v>
      </c>
      <c r="I24" s="455"/>
      <c r="J24" s="455"/>
      <c r="K24" s="455"/>
      <c r="L24" s="456"/>
    </row>
    <row r="25" spans="1:12">
      <c r="A25" s="213"/>
      <c r="B25" s="514" t="s">
        <v>260</v>
      </c>
      <c r="C25" s="310"/>
      <c r="D25" s="310"/>
      <c r="E25" s="515"/>
      <c r="F25" s="510">
        <v>0.5</v>
      </c>
      <c r="G25" s="511"/>
      <c r="H25" s="455" t="s">
        <v>264</v>
      </c>
      <c r="I25" s="455"/>
      <c r="J25" s="455"/>
      <c r="K25" s="455"/>
      <c r="L25" s="456"/>
    </row>
    <row r="26" spans="1:12">
      <c r="A26" s="213"/>
      <c r="B26" s="514" t="s">
        <v>261</v>
      </c>
      <c r="C26" s="310"/>
      <c r="D26" s="310"/>
      <c r="E26" s="515"/>
      <c r="F26" s="455" t="s">
        <v>109</v>
      </c>
      <c r="G26" s="456"/>
      <c r="H26" s="455" t="s">
        <v>265</v>
      </c>
      <c r="I26" s="455"/>
      <c r="J26" s="455"/>
      <c r="K26" s="455"/>
      <c r="L26" s="456"/>
    </row>
    <row r="27" spans="1:12">
      <c r="A27" s="213"/>
      <c r="B27" s="514" t="s">
        <v>262</v>
      </c>
      <c r="C27" s="310"/>
      <c r="D27" s="310"/>
      <c r="E27" s="515"/>
      <c r="F27" s="455" t="s">
        <v>109</v>
      </c>
      <c r="G27" s="456"/>
      <c r="H27" s="455" t="s">
        <v>82</v>
      </c>
      <c r="I27" s="455"/>
      <c r="J27" s="455"/>
      <c r="K27" s="455"/>
      <c r="L27" s="456"/>
    </row>
    <row r="28" spans="1:12" ht="18.75" thickBot="1">
      <c r="A28" s="213"/>
      <c r="B28" s="491" t="s">
        <v>263</v>
      </c>
      <c r="C28" s="491"/>
      <c r="D28" s="491"/>
      <c r="E28" s="491"/>
      <c r="F28" s="512"/>
      <c r="G28" s="486"/>
      <c r="H28" s="485" t="s">
        <v>82</v>
      </c>
      <c r="I28" s="485"/>
      <c r="J28" s="485"/>
      <c r="K28" s="485"/>
      <c r="L28" s="486"/>
    </row>
    <row r="30" spans="1:12" ht="18.75" thickBot="1"/>
    <row r="31" spans="1:12" ht="21.75" thickBot="1">
      <c r="B31" s="430" t="s">
        <v>266</v>
      </c>
      <c r="C31" s="431"/>
      <c r="D31" s="431"/>
      <c r="E31" s="431"/>
      <c r="F31" s="431"/>
      <c r="G31" s="431"/>
      <c r="H31" s="431"/>
      <c r="I31" s="431"/>
      <c r="J31" s="431"/>
      <c r="K31" s="431"/>
      <c r="L31" s="432"/>
    </row>
    <row r="32" spans="1:12">
      <c r="A32" s="213"/>
      <c r="B32" s="504" t="s">
        <v>267</v>
      </c>
      <c r="C32" s="504"/>
      <c r="D32" s="504"/>
      <c r="E32" s="505"/>
      <c r="F32" s="508">
        <v>28875</v>
      </c>
      <c r="G32" s="509"/>
      <c r="H32" s="455" t="s">
        <v>256</v>
      </c>
      <c r="I32" s="455"/>
      <c r="J32" s="455"/>
      <c r="K32" s="455"/>
      <c r="L32" s="456"/>
    </row>
    <row r="33" spans="1:12">
      <c r="A33" s="213"/>
      <c r="B33" s="506" t="s">
        <v>268</v>
      </c>
      <c r="C33" s="506"/>
      <c r="D33" s="506"/>
      <c r="E33" s="507"/>
      <c r="F33" s="455" t="s">
        <v>109</v>
      </c>
      <c r="G33" s="456"/>
      <c r="H33" s="455" t="s">
        <v>82</v>
      </c>
      <c r="I33" s="455"/>
      <c r="J33" s="455"/>
      <c r="K33" s="455"/>
      <c r="L33" s="456"/>
    </row>
    <row r="34" spans="1:12">
      <c r="A34" s="213"/>
      <c r="B34" s="506" t="s">
        <v>269</v>
      </c>
      <c r="C34" s="506"/>
      <c r="D34" s="506"/>
      <c r="E34" s="507"/>
      <c r="F34" s="455" t="s">
        <v>109</v>
      </c>
      <c r="G34" s="456"/>
      <c r="H34" s="455" t="s">
        <v>82</v>
      </c>
      <c r="I34" s="455"/>
      <c r="J34" s="455"/>
      <c r="K34" s="455"/>
      <c r="L34" s="456"/>
    </row>
    <row r="35" spans="1:12">
      <c r="A35" s="213"/>
      <c r="B35" s="506" t="s">
        <v>270</v>
      </c>
      <c r="C35" s="506"/>
      <c r="D35" s="506"/>
      <c r="E35" s="507"/>
      <c r="F35" s="455" t="s">
        <v>109</v>
      </c>
      <c r="G35" s="456"/>
      <c r="H35" s="455" t="s">
        <v>82</v>
      </c>
      <c r="I35" s="455"/>
      <c r="J35" s="455"/>
      <c r="K35" s="455"/>
      <c r="L35" s="456"/>
    </row>
    <row r="36" spans="1:12">
      <c r="A36" s="213"/>
      <c r="B36" s="506" t="s">
        <v>271</v>
      </c>
      <c r="C36" s="506"/>
      <c r="D36" s="506"/>
      <c r="E36" s="507"/>
      <c r="F36" s="510" t="s">
        <v>109</v>
      </c>
      <c r="G36" s="511"/>
      <c r="H36" s="455" t="s">
        <v>177</v>
      </c>
      <c r="I36" s="455"/>
      <c r="J36" s="455"/>
      <c r="K36" s="455"/>
      <c r="L36" s="456"/>
    </row>
    <row r="37" spans="1:12">
      <c r="A37" s="213"/>
      <c r="B37" s="506" t="s">
        <v>272</v>
      </c>
      <c r="C37" s="506"/>
      <c r="D37" s="506"/>
      <c r="E37" s="507"/>
      <c r="F37" s="455" t="s">
        <v>109</v>
      </c>
      <c r="G37" s="456"/>
      <c r="H37" s="455" t="s">
        <v>275</v>
      </c>
      <c r="I37" s="455"/>
      <c r="J37" s="455"/>
      <c r="K37" s="455"/>
      <c r="L37" s="456"/>
    </row>
    <row r="38" spans="1:12">
      <c r="A38" s="213"/>
      <c r="B38" s="506" t="s">
        <v>273</v>
      </c>
      <c r="C38" s="506"/>
      <c r="D38" s="506"/>
      <c r="E38" s="507"/>
      <c r="F38" s="455" t="s">
        <v>109</v>
      </c>
      <c r="G38" s="456"/>
      <c r="H38" s="455" t="s">
        <v>82</v>
      </c>
      <c r="I38" s="455"/>
      <c r="J38" s="455"/>
      <c r="K38" s="455"/>
      <c r="L38" s="456"/>
    </row>
    <row r="39" spans="1:12" ht="18.75" thickBot="1">
      <c r="A39" s="213"/>
      <c r="B39" s="483" t="s">
        <v>274</v>
      </c>
      <c r="C39" s="483"/>
      <c r="D39" s="483"/>
      <c r="E39" s="484"/>
      <c r="F39" s="512"/>
      <c r="G39" s="486"/>
      <c r="H39" s="485" t="s">
        <v>82</v>
      </c>
      <c r="I39" s="485"/>
      <c r="J39" s="485"/>
      <c r="K39" s="485"/>
      <c r="L39" s="486"/>
    </row>
    <row r="41" spans="1:12" ht="18.75" thickBot="1"/>
    <row r="42" spans="1:12" ht="21.75" thickBot="1">
      <c r="A42" s="213"/>
      <c r="B42" s="431" t="s">
        <v>276</v>
      </c>
      <c r="C42" s="431"/>
      <c r="D42" s="431"/>
      <c r="E42" s="431"/>
      <c r="F42" s="431"/>
      <c r="G42" s="431"/>
      <c r="H42" s="431"/>
      <c r="I42" s="431"/>
      <c r="J42" s="431"/>
      <c r="K42" s="431"/>
      <c r="L42" s="432"/>
    </row>
    <row r="43" spans="1:12" ht="18.75" thickBot="1">
      <c r="A43" s="213"/>
      <c r="B43" s="518" t="s">
        <v>277</v>
      </c>
      <c r="C43" s="521" t="s">
        <v>278</v>
      </c>
      <c r="D43" s="522"/>
      <c r="E43" s="222"/>
      <c r="F43" s="222"/>
      <c r="G43" s="223"/>
      <c r="H43" s="224"/>
      <c r="I43" s="224"/>
      <c r="J43" s="222"/>
      <c r="K43" s="222"/>
      <c r="L43" s="225"/>
    </row>
    <row r="44" spans="1:12" ht="18.75" thickBot="1">
      <c r="A44" s="213"/>
      <c r="B44" s="519"/>
      <c r="C44" s="523" t="s">
        <v>279</v>
      </c>
      <c r="D44" s="523"/>
      <c r="E44" s="525" t="s">
        <v>280</v>
      </c>
      <c r="F44" s="526"/>
      <c r="G44" s="226"/>
      <c r="H44" s="227"/>
      <c r="I44" s="228"/>
      <c r="J44" s="229"/>
      <c r="K44" s="229"/>
      <c r="L44" s="230"/>
    </row>
    <row r="45" spans="1:12" ht="18.75" thickBot="1">
      <c r="A45" s="213"/>
      <c r="B45" s="520"/>
      <c r="C45" s="524" t="s">
        <v>281</v>
      </c>
      <c r="D45" s="524"/>
      <c r="E45" s="516" t="s">
        <v>282</v>
      </c>
      <c r="F45" s="517"/>
      <c r="G45" s="231"/>
      <c r="H45" s="232"/>
      <c r="I45" s="233"/>
      <c r="J45" s="234"/>
      <c r="K45" s="234"/>
      <c r="L45" s="235"/>
    </row>
    <row r="46" spans="1:12" ht="18.75" thickBot="1">
      <c r="A46" s="213"/>
      <c r="B46" s="534" t="s">
        <v>283</v>
      </c>
      <c r="C46" s="535"/>
      <c r="D46" s="535"/>
      <c r="E46" s="535"/>
      <c r="F46" s="536"/>
      <c r="G46" s="537" t="s">
        <v>289</v>
      </c>
      <c r="H46" s="538"/>
      <c r="I46" s="538"/>
      <c r="J46" s="538"/>
      <c r="K46" s="539"/>
      <c r="L46" s="527" t="s">
        <v>290</v>
      </c>
    </row>
    <row r="47" spans="1:12" ht="18.75" thickBot="1">
      <c r="A47" s="213"/>
      <c r="B47" s="452" t="s">
        <v>284</v>
      </c>
      <c r="C47" s="453"/>
      <c r="D47" s="454"/>
      <c r="E47" s="436" t="s">
        <v>288</v>
      </c>
      <c r="F47" s="439"/>
      <c r="G47" s="452" t="s">
        <v>284</v>
      </c>
      <c r="H47" s="453"/>
      <c r="I47" s="454"/>
      <c r="J47" s="436" t="s">
        <v>288</v>
      </c>
      <c r="K47" s="439"/>
      <c r="L47" s="528"/>
    </row>
    <row r="48" spans="1:12" ht="18.75" thickBot="1">
      <c r="A48" s="213"/>
      <c r="B48" s="218" t="s">
        <v>285</v>
      </c>
      <c r="C48" s="36" t="s">
        <v>286</v>
      </c>
      <c r="D48" s="8" t="s">
        <v>287</v>
      </c>
      <c r="E48" s="437"/>
      <c r="F48" s="440"/>
      <c r="G48" s="218" t="s">
        <v>285</v>
      </c>
      <c r="H48" s="36" t="s">
        <v>286</v>
      </c>
      <c r="I48" s="36" t="s">
        <v>287</v>
      </c>
      <c r="J48" s="437"/>
      <c r="K48" s="440"/>
      <c r="L48" s="529"/>
    </row>
    <row r="49" spans="1:14" ht="18.75" thickBot="1">
      <c r="A49" s="213"/>
      <c r="B49" s="242">
        <v>179</v>
      </c>
      <c r="C49" s="221">
        <v>716</v>
      </c>
      <c r="D49" s="221">
        <v>358</v>
      </c>
      <c r="E49" s="485">
        <v>0</v>
      </c>
      <c r="F49" s="486"/>
      <c r="G49" s="242">
        <v>141.5</v>
      </c>
      <c r="H49" s="221">
        <v>566</v>
      </c>
      <c r="I49" s="221">
        <v>283</v>
      </c>
      <c r="J49" s="485">
        <v>17856</v>
      </c>
      <c r="K49" s="486"/>
      <c r="L49" s="219" t="s">
        <v>280</v>
      </c>
    </row>
    <row r="50" spans="1:14" ht="18.75" thickBot="1"/>
    <row r="51" spans="1:14" ht="18.75" thickBot="1">
      <c r="B51" s="518" t="s">
        <v>292</v>
      </c>
      <c r="C51" s="521" t="s">
        <v>293</v>
      </c>
      <c r="D51" s="522"/>
      <c r="E51" s="222"/>
      <c r="F51" s="222"/>
      <c r="G51" s="223"/>
      <c r="H51" s="224"/>
      <c r="I51" s="224"/>
      <c r="J51" s="222"/>
      <c r="K51" s="222"/>
      <c r="L51" s="225"/>
    </row>
    <row r="52" spans="1:14" ht="18.75" thickBot="1">
      <c r="B52" s="519"/>
      <c r="C52" s="530" t="s">
        <v>279</v>
      </c>
      <c r="D52" s="531"/>
      <c r="E52" s="525" t="s">
        <v>291</v>
      </c>
      <c r="F52" s="526"/>
      <c r="G52" s="226"/>
      <c r="H52" s="227"/>
      <c r="I52" s="228"/>
      <c r="J52" s="229"/>
      <c r="K52" s="229"/>
      <c r="L52" s="230"/>
    </row>
    <row r="53" spans="1:14" ht="18.75" thickBot="1">
      <c r="B53" s="520"/>
      <c r="C53" s="532" t="s">
        <v>281</v>
      </c>
      <c r="D53" s="533"/>
      <c r="E53" s="540" t="s">
        <v>294</v>
      </c>
      <c r="F53" s="541"/>
      <c r="G53" s="541"/>
      <c r="H53" s="541"/>
      <c r="I53" s="541"/>
      <c r="J53" s="541"/>
      <c r="K53" s="541"/>
      <c r="L53" s="542"/>
    </row>
    <row r="54" spans="1:14" ht="18.75" thickBot="1">
      <c r="B54" s="543" t="s">
        <v>283</v>
      </c>
      <c r="C54" s="544"/>
      <c r="D54" s="544"/>
      <c r="E54" s="544"/>
      <c r="F54" s="545"/>
      <c r="G54" s="546" t="s">
        <v>289</v>
      </c>
      <c r="H54" s="547"/>
      <c r="I54" s="547"/>
      <c r="J54" s="547"/>
      <c r="K54" s="548"/>
      <c r="L54" s="446" t="s">
        <v>290</v>
      </c>
    </row>
    <row r="55" spans="1:14" ht="18.75" thickBot="1">
      <c r="B55" s="452" t="s">
        <v>284</v>
      </c>
      <c r="C55" s="453"/>
      <c r="D55" s="454"/>
      <c r="E55" s="549" t="s">
        <v>288</v>
      </c>
      <c r="F55" s="438"/>
      <c r="G55" s="452" t="s">
        <v>284</v>
      </c>
      <c r="H55" s="453"/>
      <c r="I55" s="454"/>
      <c r="J55" s="549" t="s">
        <v>288</v>
      </c>
      <c r="K55" s="438"/>
      <c r="L55" s="447"/>
    </row>
    <row r="56" spans="1:14" ht="18.75" thickBot="1">
      <c r="B56" s="218" t="s">
        <v>285</v>
      </c>
      <c r="C56" s="36" t="s">
        <v>286</v>
      </c>
      <c r="D56" s="8" t="s">
        <v>287</v>
      </c>
      <c r="E56" s="550"/>
      <c r="F56" s="440"/>
      <c r="G56" s="218" t="s">
        <v>285</v>
      </c>
      <c r="H56" s="36" t="s">
        <v>286</v>
      </c>
      <c r="I56" s="36" t="s">
        <v>287</v>
      </c>
      <c r="J56" s="550"/>
      <c r="K56" s="440"/>
      <c r="L56" s="448"/>
    </row>
    <row r="57" spans="1:14" ht="18.75" thickBot="1">
      <c r="B57" s="242">
        <v>133</v>
      </c>
      <c r="C57" s="221">
        <v>532</v>
      </c>
      <c r="D57" s="221">
        <v>266</v>
      </c>
      <c r="E57" s="433">
        <v>0</v>
      </c>
      <c r="F57" s="434"/>
      <c r="G57" s="242">
        <v>106.5</v>
      </c>
      <c r="H57" s="221">
        <v>426</v>
      </c>
      <c r="I57" s="221">
        <v>213</v>
      </c>
      <c r="J57" s="433">
        <v>16368</v>
      </c>
      <c r="K57" s="434"/>
      <c r="L57" s="220" t="s">
        <v>291</v>
      </c>
    </row>
    <row r="58" spans="1:14" ht="18.75" thickBot="1">
      <c r="M58" s="7"/>
    </row>
    <row r="59" spans="1:14" ht="18.75" thickBot="1">
      <c r="A59" s="213"/>
      <c r="B59" s="471" t="s">
        <v>295</v>
      </c>
      <c r="C59" s="521" t="s">
        <v>296</v>
      </c>
      <c r="D59" s="522"/>
      <c r="E59" s="222"/>
      <c r="F59" s="222"/>
      <c r="G59" s="223"/>
      <c r="H59" s="224"/>
      <c r="I59" s="224"/>
      <c r="J59" s="222"/>
      <c r="K59" s="222"/>
      <c r="L59" s="237"/>
      <c r="M59" s="238"/>
    </row>
    <row r="60" spans="1:14" ht="18.75" thickBot="1">
      <c r="A60" s="213"/>
      <c r="B60" s="472"/>
      <c r="C60" s="530" t="s">
        <v>279</v>
      </c>
      <c r="D60" s="531"/>
      <c r="E60" s="525" t="s">
        <v>297</v>
      </c>
      <c r="F60" s="526"/>
      <c r="G60" s="226"/>
      <c r="H60" s="227"/>
      <c r="I60" s="228"/>
      <c r="J60" s="229"/>
      <c r="K60" s="229"/>
      <c r="L60" s="236"/>
      <c r="M60" s="238"/>
    </row>
    <row r="61" spans="1:14">
      <c r="A61" s="213"/>
      <c r="B61" s="472"/>
      <c r="C61" s="557" t="s">
        <v>298</v>
      </c>
      <c r="D61" s="558"/>
      <c r="E61" s="449" t="s">
        <v>299</v>
      </c>
      <c r="F61" s="450"/>
      <c r="G61" s="450"/>
      <c r="H61" s="450"/>
      <c r="I61" s="450"/>
      <c r="J61" s="450"/>
      <c r="K61" s="450"/>
      <c r="L61" s="450"/>
      <c r="M61" s="451"/>
    </row>
    <row r="62" spans="1:14" ht="18.75" thickBot="1">
      <c r="A62" s="213"/>
      <c r="B62" s="473"/>
      <c r="C62" s="469" t="s">
        <v>300</v>
      </c>
      <c r="D62" s="470"/>
      <c r="E62" s="449" t="s">
        <v>301</v>
      </c>
      <c r="F62" s="450"/>
      <c r="G62" s="450"/>
      <c r="H62" s="450"/>
      <c r="I62" s="450"/>
      <c r="J62" s="450"/>
      <c r="K62" s="450"/>
      <c r="L62" s="450"/>
      <c r="M62" s="451"/>
    </row>
    <row r="63" spans="1:14" ht="18.75" thickBot="1">
      <c r="A63" s="213"/>
      <c r="B63" s="551" t="s">
        <v>283</v>
      </c>
      <c r="C63" s="551"/>
      <c r="D63" s="551"/>
      <c r="E63" s="551"/>
      <c r="F63" s="552"/>
      <c r="G63" s="553" t="s">
        <v>289</v>
      </c>
      <c r="H63" s="554"/>
      <c r="I63" s="554"/>
      <c r="J63" s="554"/>
      <c r="K63" s="555"/>
      <c r="L63" s="444" t="s">
        <v>302</v>
      </c>
      <c r="M63" s="445"/>
      <c r="N63" s="18"/>
    </row>
    <row r="64" spans="1:14" ht="18.75" thickBot="1">
      <c r="A64" s="213"/>
      <c r="B64" s="556" t="s">
        <v>284</v>
      </c>
      <c r="C64" s="556"/>
      <c r="D64" s="434"/>
      <c r="E64" s="549" t="s">
        <v>288</v>
      </c>
      <c r="F64" s="438"/>
      <c r="G64" s="433" t="s">
        <v>284</v>
      </c>
      <c r="H64" s="556"/>
      <c r="I64" s="434"/>
      <c r="J64" s="549" t="s">
        <v>288</v>
      </c>
      <c r="K64" s="438"/>
      <c r="L64" s="444"/>
      <c r="M64" s="445"/>
      <c r="N64" s="18"/>
    </row>
    <row r="65" spans="1:14" ht="18.75" thickBot="1">
      <c r="A65" s="213"/>
      <c r="B65" s="24" t="s">
        <v>285</v>
      </c>
      <c r="C65" s="24" t="s">
        <v>286</v>
      </c>
      <c r="D65" s="217" t="s">
        <v>287</v>
      </c>
      <c r="E65" s="550"/>
      <c r="F65" s="440"/>
      <c r="G65" s="26" t="s">
        <v>285</v>
      </c>
      <c r="H65" s="24" t="s">
        <v>286</v>
      </c>
      <c r="I65" s="24" t="s">
        <v>287</v>
      </c>
      <c r="J65" s="550"/>
      <c r="K65" s="440"/>
      <c r="L65" s="444"/>
      <c r="M65" s="445"/>
      <c r="N65" s="18"/>
    </row>
    <row r="66" spans="1:14" ht="18.75" thickBot="1">
      <c r="A66" s="213"/>
      <c r="B66" s="441">
        <v>327.5</v>
      </c>
      <c r="C66" s="438">
        <v>1310</v>
      </c>
      <c r="D66" s="438">
        <v>655</v>
      </c>
      <c r="E66" s="435">
        <v>0</v>
      </c>
      <c r="F66" s="435"/>
      <c r="G66" s="242">
        <v>253</v>
      </c>
      <c r="H66" s="217">
        <v>1012</v>
      </c>
      <c r="I66" s="217">
        <v>506</v>
      </c>
      <c r="J66" s="433">
        <v>47616</v>
      </c>
      <c r="K66" s="434"/>
      <c r="L66" s="241" t="s">
        <v>303</v>
      </c>
      <c r="M66" s="446" t="s">
        <v>297</v>
      </c>
      <c r="N66" s="16"/>
    </row>
    <row r="67" spans="1:14" ht="18.75" thickBot="1">
      <c r="A67" s="213"/>
      <c r="B67" s="442"/>
      <c r="C67" s="439"/>
      <c r="D67" s="439"/>
      <c r="E67" s="436"/>
      <c r="F67" s="436"/>
      <c r="G67" s="243">
        <v>290.5</v>
      </c>
      <c r="H67" s="26">
        <v>1162</v>
      </c>
      <c r="I67" s="26">
        <v>581</v>
      </c>
      <c r="J67" s="433">
        <v>17856</v>
      </c>
      <c r="K67" s="434"/>
      <c r="L67" s="240" t="s">
        <v>304</v>
      </c>
      <c r="M67" s="447"/>
    </row>
    <row r="68" spans="1:14" ht="18.75" thickBot="1">
      <c r="A68" s="213"/>
      <c r="B68" s="443"/>
      <c r="C68" s="440"/>
      <c r="D68" s="440"/>
      <c r="E68" s="437"/>
      <c r="F68" s="437"/>
      <c r="G68" s="214">
        <v>320.5</v>
      </c>
      <c r="H68" s="26">
        <v>1282</v>
      </c>
      <c r="I68" s="26">
        <v>641</v>
      </c>
      <c r="J68" s="433">
        <v>0</v>
      </c>
      <c r="K68" s="434"/>
      <c r="L68" s="244" t="s">
        <v>305</v>
      </c>
      <c r="M68" s="448"/>
    </row>
  </sheetData>
  <mergeCells count="133">
    <mergeCell ref="J66:K66"/>
    <mergeCell ref="B63:F63"/>
    <mergeCell ref="G63:K63"/>
    <mergeCell ref="B64:D64"/>
    <mergeCell ref="E64:F65"/>
    <mergeCell ref="G64:I64"/>
    <mergeCell ref="J64:K65"/>
    <mergeCell ref="C59:D59"/>
    <mergeCell ref="C60:D60"/>
    <mergeCell ref="E60:F60"/>
    <mergeCell ref="C61:D61"/>
    <mergeCell ref="E57:F57"/>
    <mergeCell ref="J57:K57"/>
    <mergeCell ref="E53:L53"/>
    <mergeCell ref="B54:F54"/>
    <mergeCell ref="G54:K54"/>
    <mergeCell ref="L54:L56"/>
    <mergeCell ref="B55:D55"/>
    <mergeCell ref="E55:F56"/>
    <mergeCell ref="G55:I55"/>
    <mergeCell ref="J55:K56"/>
    <mergeCell ref="C45:D45"/>
    <mergeCell ref="E44:F44"/>
    <mergeCell ref="L46:L48"/>
    <mergeCell ref="B51:B53"/>
    <mergeCell ref="C51:D51"/>
    <mergeCell ref="C52:D52"/>
    <mergeCell ref="E52:F52"/>
    <mergeCell ref="C53:D53"/>
    <mergeCell ref="E49:F49"/>
    <mergeCell ref="G47:I47"/>
    <mergeCell ref="J47:K48"/>
    <mergeCell ref="J49:K49"/>
    <mergeCell ref="B46:F46"/>
    <mergeCell ref="G46:K46"/>
    <mergeCell ref="B42:L42"/>
    <mergeCell ref="E45:F45"/>
    <mergeCell ref="B47:D47"/>
    <mergeCell ref="E47:F48"/>
    <mergeCell ref="B43:B45"/>
    <mergeCell ref="C43:D43"/>
    <mergeCell ref="C44:D44"/>
    <mergeCell ref="H34:L34"/>
    <mergeCell ref="H35:L35"/>
    <mergeCell ref="H36:L36"/>
    <mergeCell ref="H37:L37"/>
    <mergeCell ref="H38:L38"/>
    <mergeCell ref="H39:L39"/>
    <mergeCell ref="F34:G34"/>
    <mergeCell ref="F35:G35"/>
    <mergeCell ref="F36:G36"/>
    <mergeCell ref="F37:G37"/>
    <mergeCell ref="F38:G38"/>
    <mergeCell ref="F39:G39"/>
    <mergeCell ref="B34:E34"/>
    <mergeCell ref="B35:E35"/>
    <mergeCell ref="B36:E36"/>
    <mergeCell ref="B37:E37"/>
    <mergeCell ref="B38:E38"/>
    <mergeCell ref="B28:E28"/>
    <mergeCell ref="F21:G21"/>
    <mergeCell ref="F22:G22"/>
    <mergeCell ref="F23:G23"/>
    <mergeCell ref="F24:G24"/>
    <mergeCell ref="F25:G25"/>
    <mergeCell ref="F28:G28"/>
    <mergeCell ref="B21:E21"/>
    <mergeCell ref="B22:E22"/>
    <mergeCell ref="B27:E27"/>
    <mergeCell ref="B23:E23"/>
    <mergeCell ref="B24:E24"/>
    <mergeCell ref="B25:E25"/>
    <mergeCell ref="B26:E26"/>
    <mergeCell ref="F32:G32"/>
    <mergeCell ref="F33:G33"/>
    <mergeCell ref="H32:L32"/>
    <mergeCell ref="H33:L33"/>
    <mergeCell ref="H21:L21"/>
    <mergeCell ref="H22:L22"/>
    <mergeCell ref="H23:L23"/>
    <mergeCell ref="H24:L24"/>
    <mergeCell ref="H25:L25"/>
    <mergeCell ref="H26:L26"/>
    <mergeCell ref="F26:G26"/>
    <mergeCell ref="F27:G27"/>
    <mergeCell ref="B39:E39"/>
    <mergeCell ref="H27:L27"/>
    <mergeCell ref="H28:L28"/>
    <mergeCell ref="E61:M61"/>
    <mergeCell ref="B10:E11"/>
    <mergeCell ref="F10:G11"/>
    <mergeCell ref="H10:L11"/>
    <mergeCell ref="B12:E12"/>
    <mergeCell ref="B13:E13"/>
    <mergeCell ref="B14:E14"/>
    <mergeCell ref="F17:G17"/>
    <mergeCell ref="F16:G16"/>
    <mergeCell ref="F15:G15"/>
    <mergeCell ref="F12:G12"/>
    <mergeCell ref="F13:G13"/>
    <mergeCell ref="F14:G14"/>
    <mergeCell ref="H12:L12"/>
    <mergeCell ref="H13:L13"/>
    <mergeCell ref="H14:L14"/>
    <mergeCell ref="H15:L15"/>
    <mergeCell ref="B20:L20"/>
    <mergeCell ref="B31:L31"/>
    <mergeCell ref="B32:E32"/>
    <mergeCell ref="B33:E33"/>
    <mergeCell ref="B1:L2"/>
    <mergeCell ref="B3:L3"/>
    <mergeCell ref="J67:K67"/>
    <mergeCell ref="J68:K68"/>
    <mergeCell ref="E66:F68"/>
    <mergeCell ref="D66:D68"/>
    <mergeCell ref="C66:C68"/>
    <mergeCell ref="B66:B68"/>
    <mergeCell ref="L63:M65"/>
    <mergeCell ref="M66:M68"/>
    <mergeCell ref="E62:M62"/>
    <mergeCell ref="B4:D4"/>
    <mergeCell ref="B5:D5"/>
    <mergeCell ref="E9:G9"/>
    <mergeCell ref="E8:L8"/>
    <mergeCell ref="B9:D9"/>
    <mergeCell ref="H9:L9"/>
    <mergeCell ref="C62:D62"/>
    <mergeCell ref="B59:B62"/>
    <mergeCell ref="H16:L16"/>
    <mergeCell ref="H17:L17"/>
    <mergeCell ref="B15:E15"/>
    <mergeCell ref="B16:E16"/>
    <mergeCell ref="B17:E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topLeftCell="A5" zoomScaleNormal="100" workbookViewId="0">
      <selection activeCell="E20" sqref="E20"/>
    </sheetView>
  </sheetViews>
  <sheetFormatPr defaultRowHeight="15"/>
  <cols>
    <col min="2" max="2" width="14.7109375" bestFit="1" customWidth="1"/>
    <col min="3" max="3" width="10.7109375" bestFit="1" customWidth="1"/>
    <col min="4" max="4" width="23.140625" bestFit="1" customWidth="1"/>
    <col min="5" max="5" width="26.85546875" bestFit="1" customWidth="1"/>
    <col min="6" max="6" width="17.85546875" bestFit="1" customWidth="1"/>
    <col min="7" max="7" width="25.42578125" bestFit="1" customWidth="1"/>
    <col min="8" max="8" width="19.5703125" bestFit="1" customWidth="1"/>
    <col min="9" max="9" width="17.5703125" bestFit="1" customWidth="1"/>
    <col min="10" max="10" width="16.28515625" bestFit="1" customWidth="1"/>
  </cols>
  <sheetData>
    <row r="1" spans="1:10" ht="25.5" thickTop="1" thickBot="1">
      <c r="A1" s="565" t="s">
        <v>17</v>
      </c>
      <c r="B1" s="566"/>
      <c r="C1" s="566"/>
      <c r="D1" s="566"/>
      <c r="E1" s="566"/>
      <c r="F1" s="566"/>
      <c r="G1" s="567"/>
      <c r="H1" s="4"/>
    </row>
    <row r="2" spans="1:10" ht="21" thickTop="1" thickBot="1">
      <c r="A2" s="148" t="s">
        <v>14</v>
      </c>
      <c r="B2" s="148" t="s">
        <v>1</v>
      </c>
      <c r="C2" s="149" t="s">
        <v>2</v>
      </c>
      <c r="D2" s="149" t="s">
        <v>3</v>
      </c>
      <c r="E2" s="150" t="s">
        <v>4</v>
      </c>
      <c r="F2" s="151" t="s">
        <v>5</v>
      </c>
      <c r="G2" s="152" t="s">
        <v>6</v>
      </c>
      <c r="I2" s="195"/>
    </row>
    <row r="3" spans="1:10" ht="20.25" thickBot="1">
      <c r="A3" s="146">
        <v>1</v>
      </c>
      <c r="B3" s="29" t="s">
        <v>0</v>
      </c>
      <c r="C3" s="12">
        <v>2</v>
      </c>
      <c r="D3" s="199">
        <v>80000000</v>
      </c>
      <c r="E3" s="201">
        <f>D3*14*C3</f>
        <v>2240000000</v>
      </c>
      <c r="F3" s="201">
        <f>E3*0.35</f>
        <v>784000000</v>
      </c>
      <c r="G3" s="202">
        <f>F3+E3</f>
        <v>3024000000</v>
      </c>
      <c r="H3" s="205"/>
      <c r="I3" s="206"/>
      <c r="J3" s="195"/>
    </row>
    <row r="4" spans="1:10" ht="20.25" thickBot="1">
      <c r="A4" s="146">
        <v>2</v>
      </c>
      <c r="B4" s="29" t="s">
        <v>7</v>
      </c>
      <c r="C4" s="12">
        <v>3</v>
      </c>
      <c r="D4" s="199">
        <v>30000000</v>
      </c>
      <c r="E4" s="201">
        <f t="shared" ref="E4:E10" si="0">D4*14*C4</f>
        <v>1260000000</v>
      </c>
      <c r="F4" s="201">
        <f t="shared" ref="F4:F10" si="1">E4*0.35</f>
        <v>441000000</v>
      </c>
      <c r="G4" s="202">
        <f t="shared" ref="G4:G10" si="2">F4+E4</f>
        <v>1701000000</v>
      </c>
      <c r="I4" s="206"/>
      <c r="J4" s="195"/>
    </row>
    <row r="5" spans="1:10" ht="20.25" thickBot="1">
      <c r="A5" s="146">
        <v>3</v>
      </c>
      <c r="B5" s="29" t="s">
        <v>8</v>
      </c>
      <c r="C5" s="12">
        <v>14</v>
      </c>
      <c r="D5" s="199">
        <v>22000000</v>
      </c>
      <c r="E5" s="201">
        <f t="shared" si="0"/>
        <v>4312000000</v>
      </c>
      <c r="F5" s="201">
        <f t="shared" si="1"/>
        <v>1509200000</v>
      </c>
      <c r="G5" s="202">
        <f t="shared" si="2"/>
        <v>5821200000</v>
      </c>
      <c r="I5" s="206"/>
    </row>
    <row r="6" spans="1:10" ht="20.25" thickBot="1">
      <c r="A6" s="146">
        <v>4</v>
      </c>
      <c r="B6" s="29" t="s">
        <v>9</v>
      </c>
      <c r="C6" s="12">
        <v>7</v>
      </c>
      <c r="D6" s="199">
        <v>40000000</v>
      </c>
      <c r="E6" s="201">
        <f t="shared" si="0"/>
        <v>3920000000</v>
      </c>
      <c r="F6" s="201">
        <f t="shared" si="1"/>
        <v>1372000000</v>
      </c>
      <c r="G6" s="202">
        <f t="shared" si="2"/>
        <v>5292000000</v>
      </c>
      <c r="I6" s="206"/>
    </row>
    <row r="7" spans="1:10" ht="20.25" thickBot="1">
      <c r="A7" s="146">
        <v>5</v>
      </c>
      <c r="B7" s="29" t="s">
        <v>10</v>
      </c>
      <c r="C7" s="12">
        <v>6</v>
      </c>
      <c r="D7" s="199">
        <v>16000000</v>
      </c>
      <c r="E7" s="201">
        <f t="shared" si="0"/>
        <v>1344000000</v>
      </c>
      <c r="F7" s="201">
        <f t="shared" si="1"/>
        <v>470399999.99999994</v>
      </c>
      <c r="G7" s="202">
        <f t="shared" si="2"/>
        <v>1814400000</v>
      </c>
      <c r="I7" s="206"/>
    </row>
    <row r="8" spans="1:10" ht="20.25" thickBot="1">
      <c r="A8" s="146">
        <v>6</v>
      </c>
      <c r="B8" s="29" t="s">
        <v>11</v>
      </c>
      <c r="C8" s="12">
        <v>2</v>
      </c>
      <c r="D8" s="199">
        <v>25000000</v>
      </c>
      <c r="E8" s="201">
        <f t="shared" si="0"/>
        <v>700000000</v>
      </c>
      <c r="F8" s="201">
        <f t="shared" si="1"/>
        <v>244999999.99999997</v>
      </c>
      <c r="G8" s="202">
        <f t="shared" si="2"/>
        <v>945000000</v>
      </c>
      <c r="I8" s="206"/>
    </row>
    <row r="9" spans="1:10" ht="20.25" thickBot="1">
      <c r="A9" s="146">
        <v>7</v>
      </c>
      <c r="B9" s="29" t="s">
        <v>12</v>
      </c>
      <c r="C9" s="12">
        <v>2</v>
      </c>
      <c r="D9" s="199">
        <v>24000000</v>
      </c>
      <c r="E9" s="201">
        <f t="shared" si="0"/>
        <v>672000000</v>
      </c>
      <c r="F9" s="201">
        <f t="shared" si="1"/>
        <v>235199999.99999997</v>
      </c>
      <c r="G9" s="202">
        <f t="shared" si="2"/>
        <v>907200000</v>
      </c>
      <c r="I9" s="206"/>
    </row>
    <row r="10" spans="1:10" ht="20.25" thickBot="1">
      <c r="A10" s="147">
        <v>8</v>
      </c>
      <c r="B10" s="30" t="s">
        <v>13</v>
      </c>
      <c r="C10" s="13">
        <v>7</v>
      </c>
      <c r="D10" s="200">
        <v>16000000</v>
      </c>
      <c r="E10" s="201">
        <f t="shared" si="0"/>
        <v>1568000000</v>
      </c>
      <c r="F10" s="201">
        <f t="shared" si="1"/>
        <v>548800000</v>
      </c>
      <c r="G10" s="202">
        <f t="shared" si="2"/>
        <v>2116800000</v>
      </c>
      <c r="I10" s="206"/>
    </row>
    <row r="11" spans="1:10" ht="20.25" thickBot="1">
      <c r="A11" s="14"/>
      <c r="B11" s="9" t="s">
        <v>15</v>
      </c>
      <c r="C11" s="10">
        <f>SUM(C3:C10)</f>
        <v>43</v>
      </c>
      <c r="D11" s="11"/>
      <c r="E11" s="11"/>
      <c r="F11" s="203">
        <f>SUM(F3:F10)</f>
        <v>5605600000</v>
      </c>
      <c r="G11" s="204">
        <f>SUM(G3:G10)</f>
        <v>21621600000</v>
      </c>
      <c r="I11" s="205"/>
    </row>
    <row r="12" spans="1:10" ht="20.25" thickBot="1">
      <c r="A12" s="572" t="s">
        <v>16</v>
      </c>
      <c r="B12" s="573"/>
      <c r="C12" s="573"/>
      <c r="D12" s="153">
        <f>(D3*C3+D4*C4+D5*C5+D6*C6+D7*C7+D8*C8+D9*C9+D10*C10)/C11</f>
        <v>26604651.162790697</v>
      </c>
      <c r="E12" s="5"/>
      <c r="F12" s="5"/>
      <c r="G12" s="6"/>
    </row>
    <row r="13" spans="1:10" ht="19.5" thickTop="1" thickBot="1">
      <c r="B13" s="274"/>
      <c r="C13" s="274"/>
      <c r="D13" s="282"/>
      <c r="E13" s="282"/>
      <c r="F13" s="282"/>
      <c r="G13" s="3"/>
    </row>
    <row r="14" spans="1:10" ht="20.25" thickBot="1">
      <c r="B14" s="568" t="s">
        <v>18</v>
      </c>
      <c r="C14" s="569"/>
      <c r="D14" s="283"/>
      <c r="E14" s="284">
        <f>G11</f>
        <v>21621600000</v>
      </c>
      <c r="F14" s="282"/>
      <c r="G14" s="3"/>
    </row>
    <row r="15" spans="1:10" ht="19.5">
      <c r="B15" s="561" t="s">
        <v>19</v>
      </c>
      <c r="C15" s="562"/>
      <c r="D15" s="285"/>
      <c r="E15" s="286">
        <v>1060000000</v>
      </c>
      <c r="F15" s="282"/>
      <c r="G15" s="570" t="s">
        <v>25</v>
      </c>
      <c r="H15" s="571"/>
    </row>
    <row r="16" spans="1:10" ht="18.75" thickBot="1">
      <c r="B16" s="561" t="s">
        <v>20</v>
      </c>
      <c r="C16" s="562"/>
      <c r="D16" s="37"/>
      <c r="E16" s="286">
        <v>1300200000</v>
      </c>
      <c r="F16" s="274"/>
      <c r="G16" s="559">
        <v>5000000</v>
      </c>
      <c r="H16" s="560"/>
    </row>
    <row r="17" spans="1:8" ht="18">
      <c r="B17" s="561" t="s">
        <v>21</v>
      </c>
      <c r="C17" s="562"/>
      <c r="D17" s="37"/>
      <c r="E17" s="286">
        <f>'اطلاعات ورودی'!G19*12</f>
        <v>156000000</v>
      </c>
      <c r="F17" s="274"/>
      <c r="G17" s="1"/>
    </row>
    <row r="18" spans="1:8" ht="18.75" thickBot="1">
      <c r="B18" s="563" t="s">
        <v>22</v>
      </c>
      <c r="C18" s="564"/>
      <c r="D18" s="287"/>
      <c r="E18" s="288">
        <v>3803920000</v>
      </c>
      <c r="F18" s="274"/>
      <c r="G18" s="1"/>
      <c r="H18" s="32"/>
    </row>
    <row r="19" spans="1:8" ht="19.5">
      <c r="A19" s="19"/>
      <c r="B19" s="289" t="s">
        <v>23</v>
      </c>
      <c r="C19" s="289"/>
      <c r="D19" s="290"/>
      <c r="E19" s="291">
        <f>SUM(E14:E18)</f>
        <v>27941720000</v>
      </c>
      <c r="F19" s="292"/>
      <c r="G19" s="1"/>
      <c r="H19" s="155"/>
    </row>
    <row r="20" spans="1:8" ht="20.25" thickBot="1">
      <c r="A20" s="19"/>
      <c r="B20" s="293" t="s">
        <v>24</v>
      </c>
      <c r="C20" s="293"/>
      <c r="D20" s="294"/>
      <c r="E20" s="295">
        <f>E19/'اطلاعات ورودی'!G6/'اطلاعات ورودی'!G21</f>
        <v>2383.0891257995736</v>
      </c>
      <c r="F20" s="292"/>
      <c r="G20" s="1"/>
    </row>
    <row r="21" spans="1:8" ht="18">
      <c r="B21" s="296"/>
      <c r="C21" s="296"/>
      <c r="D21" s="274"/>
      <c r="E21" s="297"/>
      <c r="F21" s="274"/>
      <c r="G21" s="1"/>
      <c r="H21" s="1"/>
    </row>
    <row r="22" spans="1:8" ht="18">
      <c r="B22" s="274"/>
      <c r="C22" s="274"/>
      <c r="D22" s="274"/>
      <c r="E22" s="297"/>
      <c r="F22" s="297"/>
      <c r="G22" s="1"/>
    </row>
    <row r="23" spans="1:8" ht="18">
      <c r="B23" s="1"/>
      <c r="C23" s="1"/>
      <c r="D23" s="1"/>
      <c r="E23" s="207"/>
      <c r="F23" s="1"/>
      <c r="G23" s="253"/>
    </row>
    <row r="24" spans="1:8" ht="18">
      <c r="B24" s="1"/>
      <c r="C24" s="1"/>
      <c r="D24" s="1"/>
      <c r="E24" s="1"/>
      <c r="F24" s="1"/>
      <c r="G24" s="1"/>
    </row>
    <row r="25" spans="1:8" ht="18">
      <c r="B25" s="1"/>
      <c r="C25" s="1"/>
      <c r="D25" s="1"/>
      <c r="E25" s="2"/>
      <c r="F25" s="1"/>
      <c r="G25" s="1"/>
    </row>
    <row r="26" spans="1:8">
      <c r="E26" s="208"/>
    </row>
    <row r="27" spans="1:8">
      <c r="E27" s="155"/>
    </row>
  </sheetData>
  <mergeCells count="9">
    <mergeCell ref="G16:H16"/>
    <mergeCell ref="B16:C16"/>
    <mergeCell ref="B17:C17"/>
    <mergeCell ref="B18:C18"/>
    <mergeCell ref="A1:G1"/>
    <mergeCell ref="B14:C14"/>
    <mergeCell ref="B15:C15"/>
    <mergeCell ref="G15:H15"/>
    <mergeCell ref="A12:C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rightToLeft="1" topLeftCell="B1" zoomScale="80" zoomScaleNormal="80" workbookViewId="0">
      <selection activeCell="F3" sqref="F3"/>
    </sheetView>
  </sheetViews>
  <sheetFormatPr defaultRowHeight="15"/>
  <cols>
    <col min="3" max="3" width="3.28515625" customWidth="1"/>
    <col min="4" max="4" width="28.140625" customWidth="1"/>
    <col min="5" max="5" width="2.140625" customWidth="1"/>
    <col min="6" max="6" width="22.42578125" customWidth="1"/>
    <col min="7" max="7" width="23.7109375" bestFit="1" customWidth="1"/>
    <col min="10" max="10" width="14" customWidth="1"/>
    <col min="11" max="11" width="22.28515625" bestFit="1" customWidth="1"/>
    <col min="12" max="13" width="20" bestFit="1" customWidth="1"/>
    <col min="17" max="17" width="19.140625" bestFit="1" customWidth="1"/>
  </cols>
  <sheetData>
    <row r="1" spans="2:17" ht="45.75" customHeight="1" thickTop="1" thickBot="1">
      <c r="B1" s="154"/>
      <c r="C1" s="574" t="s">
        <v>36</v>
      </c>
      <c r="D1" s="575"/>
      <c r="E1" s="575"/>
      <c r="F1" s="575"/>
      <c r="G1" s="575"/>
      <c r="H1" s="575"/>
      <c r="I1" s="575"/>
      <c r="J1" s="575"/>
      <c r="K1" s="575"/>
      <c r="L1" s="575"/>
      <c r="M1" s="576"/>
      <c r="N1" s="4"/>
    </row>
    <row r="2" spans="2:17" ht="19.5" thickTop="1" thickBot="1">
      <c r="B2" s="20"/>
      <c r="C2" s="20"/>
      <c r="D2" s="20"/>
      <c r="E2" s="20"/>
      <c r="F2" s="20"/>
    </row>
    <row r="3" spans="2:17" ht="20.25" thickBot="1">
      <c r="B3" s="21"/>
      <c r="C3" s="21"/>
      <c r="D3" s="28" t="s">
        <v>26</v>
      </c>
      <c r="E3" s="24"/>
      <c r="F3" s="211">
        <f>'اطلاعات ورودی'!G6*'اطلاعات ورودی'!G5*'اطلاعات ورودی'!G38*0.95</f>
        <v>1535847425000</v>
      </c>
      <c r="J3" s="26" t="s">
        <v>32</v>
      </c>
      <c r="K3" s="26" t="s">
        <v>33</v>
      </c>
      <c r="L3" s="26" t="s">
        <v>34</v>
      </c>
      <c r="M3" s="26" t="s">
        <v>35</v>
      </c>
    </row>
    <row r="4" spans="2:17" ht="20.25" thickBot="1">
      <c r="B4" s="20"/>
      <c r="C4" s="20"/>
      <c r="D4" s="28" t="s">
        <v>308</v>
      </c>
      <c r="E4" s="24"/>
      <c r="F4" s="211">
        <f>F3*0</f>
        <v>0</v>
      </c>
      <c r="G4" s="191"/>
      <c r="J4" s="26">
        <v>0</v>
      </c>
      <c r="K4" s="26"/>
      <c r="L4" s="26"/>
      <c r="M4" s="192">
        <f>F3</f>
        <v>1535847425000</v>
      </c>
    </row>
    <row r="5" spans="2:17" ht="20.25" thickBot="1">
      <c r="B5" s="20"/>
      <c r="C5" s="20"/>
      <c r="D5" s="28" t="s">
        <v>27</v>
      </c>
      <c r="E5" s="24"/>
      <c r="F5" s="25">
        <v>15</v>
      </c>
      <c r="G5" s="155"/>
      <c r="J5" s="26">
        <v>1</v>
      </c>
      <c r="K5" s="192">
        <f>($F$3-$F$4)/$F$5</f>
        <v>102389828333.33333</v>
      </c>
      <c r="L5" s="192">
        <f>K5</f>
        <v>102389828333.33333</v>
      </c>
      <c r="M5" s="192">
        <f>M4-K5</f>
        <v>1433457596666.6667</v>
      </c>
    </row>
    <row r="6" spans="2:17" ht="20.25" thickBot="1">
      <c r="B6" s="20"/>
      <c r="C6" s="20"/>
      <c r="D6" s="29"/>
      <c r="E6" s="22"/>
      <c r="F6" s="27" t="s">
        <v>29</v>
      </c>
      <c r="G6" s="155"/>
      <c r="J6" s="26">
        <v>2</v>
      </c>
      <c r="K6" s="192">
        <f t="shared" ref="K6:K19" si="0">($F$3-$F$4)/$F$5</f>
        <v>102389828333.33333</v>
      </c>
      <c r="L6" s="192">
        <f>L5+$K$5</f>
        <v>204779656666.66666</v>
      </c>
      <c r="M6" s="192">
        <f>M5-K6</f>
        <v>1331067768333.3335</v>
      </c>
    </row>
    <row r="7" spans="2:17" ht="20.25" thickBot="1">
      <c r="B7" s="20"/>
      <c r="C7" s="20"/>
      <c r="D7" s="29" t="s">
        <v>28</v>
      </c>
      <c r="E7" s="22"/>
      <c r="F7" s="22" t="s">
        <v>30</v>
      </c>
      <c r="J7" s="26">
        <v>3</v>
      </c>
      <c r="K7" s="192">
        <f t="shared" si="0"/>
        <v>102389828333.33333</v>
      </c>
      <c r="L7" s="192">
        <f t="shared" ref="L7:L19" si="1">L6+$K$5</f>
        <v>307169485000</v>
      </c>
      <c r="M7" s="192">
        <f>M6-K7</f>
        <v>1228677940000.0002</v>
      </c>
    </row>
    <row r="8" spans="2:17" ht="20.25" thickBot="1">
      <c r="B8" s="20"/>
      <c r="C8" s="20"/>
      <c r="D8" s="30"/>
      <c r="E8" s="23"/>
      <c r="F8" s="23" t="s">
        <v>31</v>
      </c>
      <c r="J8" s="26">
        <v>4</v>
      </c>
      <c r="K8" s="192">
        <f t="shared" si="0"/>
        <v>102389828333.33333</v>
      </c>
      <c r="L8" s="192">
        <f t="shared" si="1"/>
        <v>409559313333.33331</v>
      </c>
      <c r="M8" s="192">
        <f t="shared" ref="M8:M19" si="2">M7-K8</f>
        <v>1126288111666.667</v>
      </c>
    </row>
    <row r="9" spans="2:17" ht="18.75" thickBot="1">
      <c r="J9" s="26">
        <v>5</v>
      </c>
      <c r="K9" s="192">
        <f t="shared" si="0"/>
        <v>102389828333.33333</v>
      </c>
      <c r="L9" s="192">
        <f t="shared" si="1"/>
        <v>511949141666.66663</v>
      </c>
      <c r="M9" s="192">
        <f t="shared" si="2"/>
        <v>1023898283333.3336</v>
      </c>
    </row>
    <row r="10" spans="2:17" ht="18.75" thickBot="1">
      <c r="J10" s="26">
        <v>6</v>
      </c>
      <c r="K10" s="192">
        <f t="shared" si="0"/>
        <v>102389828333.33333</v>
      </c>
      <c r="L10" s="192">
        <f t="shared" si="1"/>
        <v>614338970000</v>
      </c>
      <c r="M10" s="192">
        <f t="shared" si="2"/>
        <v>921508455000.00024</v>
      </c>
    </row>
    <row r="11" spans="2:17" ht="18.75" thickBot="1">
      <c r="J11" s="26">
        <v>7</v>
      </c>
      <c r="K11" s="192">
        <f t="shared" si="0"/>
        <v>102389828333.33333</v>
      </c>
      <c r="L11" s="192">
        <f t="shared" si="1"/>
        <v>716728798333.33337</v>
      </c>
      <c r="M11" s="192">
        <f t="shared" si="2"/>
        <v>819118626666.66687</v>
      </c>
    </row>
    <row r="12" spans="2:17" ht="18.75" thickBot="1">
      <c r="J12" s="26">
        <v>8</v>
      </c>
      <c r="K12" s="192">
        <f t="shared" si="0"/>
        <v>102389828333.33333</v>
      </c>
      <c r="L12" s="192">
        <f t="shared" si="1"/>
        <v>819118626666.66675</v>
      </c>
      <c r="M12" s="192">
        <f t="shared" si="2"/>
        <v>716728798333.3335</v>
      </c>
      <c r="Q12" s="254"/>
    </row>
    <row r="13" spans="2:17" ht="18.75" thickBot="1">
      <c r="H13" s="32"/>
      <c r="J13" s="26">
        <v>9</v>
      </c>
      <c r="K13" s="192">
        <f t="shared" si="0"/>
        <v>102389828333.33333</v>
      </c>
      <c r="L13" s="192">
        <f t="shared" si="1"/>
        <v>921508455000.00012</v>
      </c>
      <c r="M13" s="192">
        <f t="shared" si="2"/>
        <v>614338970000.00012</v>
      </c>
    </row>
    <row r="14" spans="2:17" ht="18.75" thickBot="1">
      <c r="J14" s="26">
        <v>10</v>
      </c>
      <c r="K14" s="192">
        <f t="shared" si="0"/>
        <v>102389828333.33333</v>
      </c>
      <c r="L14" s="192">
        <f t="shared" si="1"/>
        <v>1023898283333.3335</v>
      </c>
      <c r="M14" s="192">
        <f t="shared" si="2"/>
        <v>511949141666.66681</v>
      </c>
    </row>
    <row r="15" spans="2:17" ht="18.75" thickBot="1">
      <c r="J15" s="26">
        <v>11</v>
      </c>
      <c r="K15" s="192">
        <f t="shared" si="0"/>
        <v>102389828333.33333</v>
      </c>
      <c r="L15" s="192">
        <f t="shared" si="1"/>
        <v>1126288111666.6667</v>
      </c>
      <c r="M15" s="192">
        <f t="shared" si="2"/>
        <v>409559313333.3335</v>
      </c>
    </row>
    <row r="16" spans="2:17" ht="18.75" thickBot="1">
      <c r="J16" s="26">
        <v>12</v>
      </c>
      <c r="K16" s="192">
        <f t="shared" si="0"/>
        <v>102389828333.33333</v>
      </c>
      <c r="L16" s="192">
        <f t="shared" si="1"/>
        <v>1228677940000</v>
      </c>
      <c r="M16" s="192">
        <f t="shared" si="2"/>
        <v>307169485000.00018</v>
      </c>
    </row>
    <row r="17" spans="6:13" ht="18.75" thickBot="1">
      <c r="J17" s="26">
        <v>13</v>
      </c>
      <c r="K17" s="192">
        <f t="shared" si="0"/>
        <v>102389828333.33333</v>
      </c>
      <c r="L17" s="192">
        <f t="shared" si="1"/>
        <v>1331067768333.3333</v>
      </c>
      <c r="M17" s="192">
        <f t="shared" si="2"/>
        <v>204779656666.66687</v>
      </c>
    </row>
    <row r="18" spans="6:13" ht="18.75" thickBot="1">
      <c r="J18" s="26">
        <v>14</v>
      </c>
      <c r="K18" s="192">
        <f t="shared" si="0"/>
        <v>102389828333.33333</v>
      </c>
      <c r="L18" s="192">
        <f t="shared" si="1"/>
        <v>1433457596666.6665</v>
      </c>
      <c r="M18" s="192">
        <f t="shared" si="2"/>
        <v>102389828333.33354</v>
      </c>
    </row>
    <row r="19" spans="6:13" ht="18.75" thickBot="1">
      <c r="J19" s="26">
        <v>15</v>
      </c>
      <c r="K19" s="192">
        <f t="shared" si="0"/>
        <v>102389828333.33333</v>
      </c>
      <c r="L19" s="192">
        <f t="shared" si="1"/>
        <v>1535847424999.9998</v>
      </c>
      <c r="M19" s="192">
        <f t="shared" si="2"/>
        <v>2.13623046875E-4</v>
      </c>
    </row>
    <row r="20" spans="6:13" ht="18">
      <c r="K20" s="31"/>
      <c r="L20" s="15"/>
    </row>
    <row r="21" spans="6:13">
      <c r="G21" s="128"/>
    </row>
    <row r="23" spans="6:13">
      <c r="F23" s="155"/>
      <c r="G23" s="155"/>
    </row>
    <row r="24" spans="6:13">
      <c r="F24" s="191"/>
      <c r="G24" s="155"/>
    </row>
  </sheetData>
  <mergeCells count="1">
    <mergeCell ref="C1:M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topLeftCell="C2" zoomScaleNormal="100" workbookViewId="0">
      <selection activeCell="K4" sqref="K4"/>
    </sheetView>
  </sheetViews>
  <sheetFormatPr defaultRowHeight="15"/>
  <cols>
    <col min="7" max="7" width="9" customWidth="1"/>
    <col min="8" max="8" width="18.42578125" customWidth="1"/>
    <col min="12" max="12" width="11.5703125" bestFit="1" customWidth="1"/>
    <col min="14" max="14" width="19.7109375" bestFit="1" customWidth="1"/>
    <col min="15" max="15" width="21.7109375" customWidth="1"/>
    <col min="17" max="17" width="7.85546875" customWidth="1"/>
    <col min="18" max="18" width="12.140625" bestFit="1" customWidth="1"/>
  </cols>
  <sheetData>
    <row r="1" spans="2:15" ht="15.75" thickBot="1"/>
    <row r="2" spans="2:15" ht="24" customHeight="1" thickTop="1" thickBot="1">
      <c r="C2" s="577" t="s">
        <v>56</v>
      </c>
      <c r="D2" s="578"/>
      <c r="E2" s="578"/>
      <c r="F2" s="578"/>
      <c r="G2" s="578"/>
      <c r="H2" s="578"/>
      <c r="I2" s="578"/>
      <c r="J2" s="578"/>
      <c r="K2" s="578"/>
      <c r="L2" s="579"/>
      <c r="M2" s="4"/>
      <c r="O2" s="17" t="s">
        <v>49</v>
      </c>
    </row>
    <row r="3" spans="2:15" ht="19.5" thickTop="1" thickBot="1">
      <c r="B3" s="39"/>
      <c r="C3" s="584" t="s">
        <v>318</v>
      </c>
      <c r="D3" s="585"/>
      <c r="E3" s="585"/>
      <c r="F3" s="585"/>
      <c r="G3" s="585"/>
      <c r="H3" s="7"/>
      <c r="I3" s="7"/>
      <c r="J3" s="8"/>
      <c r="K3" s="144">
        <v>0.7</v>
      </c>
      <c r="L3" s="142" t="s">
        <v>38</v>
      </c>
      <c r="M3" s="1"/>
      <c r="O3" s="255">
        <f>'اطلاعات ورودی'!G5*'اطلاعات ورودی'!G6*'اطلاعات ورودی'!G38</f>
        <v>1616681500000</v>
      </c>
    </row>
    <row r="4" spans="2:15" ht="18.75" thickBot="1">
      <c r="C4" s="586" t="s">
        <v>37</v>
      </c>
      <c r="D4" s="467"/>
      <c r="E4" s="34"/>
      <c r="F4" s="34"/>
      <c r="G4" s="34"/>
      <c r="H4" s="34"/>
      <c r="I4" s="34"/>
      <c r="J4" s="36">
        <v>8</v>
      </c>
      <c r="K4" s="35">
        <v>0.08</v>
      </c>
      <c r="L4" s="141" t="s">
        <v>38</v>
      </c>
      <c r="M4" s="1"/>
    </row>
    <row r="5" spans="2:15" ht="20.25" thickBot="1">
      <c r="C5" s="586" t="s">
        <v>39</v>
      </c>
      <c r="D5" s="467"/>
      <c r="E5" s="34"/>
      <c r="F5" s="34"/>
      <c r="G5" s="34"/>
      <c r="H5" s="34"/>
      <c r="I5" s="34"/>
      <c r="J5" s="36"/>
      <c r="K5" s="34">
        <v>5</v>
      </c>
      <c r="L5" s="141" t="s">
        <v>41</v>
      </c>
      <c r="M5" s="1"/>
      <c r="O5" s="17" t="s">
        <v>310</v>
      </c>
    </row>
    <row r="6" spans="2:15" ht="18.75" thickBot="1">
      <c r="C6" s="136" t="s">
        <v>40</v>
      </c>
      <c r="D6" s="33"/>
      <c r="E6" s="7"/>
      <c r="F6" s="7"/>
      <c r="G6" s="7"/>
      <c r="H6" s="7"/>
      <c r="I6" s="7"/>
      <c r="J6" s="8"/>
      <c r="K6" s="7">
        <f>K5*12/K7</f>
        <v>10</v>
      </c>
      <c r="L6" s="142" t="s">
        <v>42</v>
      </c>
      <c r="M6" s="1"/>
      <c r="O6" s="255">
        <f>'اطلاعات ورودی'!G16*'اطلاعات ورودی'!G6*'اطلاعات ورودی'!G21</f>
        <v>427962500000</v>
      </c>
    </row>
    <row r="7" spans="2:15" ht="18.75" thickBot="1">
      <c r="B7" s="39"/>
      <c r="C7" s="137" t="s">
        <v>52</v>
      </c>
      <c r="D7" s="138"/>
      <c r="E7" s="139"/>
      <c r="F7" s="139"/>
      <c r="G7" s="139"/>
      <c r="H7" s="139"/>
      <c r="I7" s="139"/>
      <c r="J7" s="140"/>
      <c r="K7" s="139">
        <v>6</v>
      </c>
      <c r="L7" s="143" t="s">
        <v>53</v>
      </c>
    </row>
    <row r="8" spans="2:15" ht="21" thickTop="1" thickBot="1">
      <c r="C8" t="s">
        <v>54</v>
      </c>
      <c r="K8" s="37">
        <v>200</v>
      </c>
      <c r="O8" s="17" t="s">
        <v>309</v>
      </c>
    </row>
    <row r="9" spans="2:15" ht="18.75" thickBot="1">
      <c r="N9" s="195"/>
      <c r="O9" s="255">
        <f>O3-O6</f>
        <v>1188719000000</v>
      </c>
    </row>
    <row r="10" spans="2:15" ht="18">
      <c r="N10" s="31"/>
    </row>
    <row r="11" spans="2:15" ht="15.75" thickBot="1">
      <c r="C11" s="38"/>
      <c r="D11" s="38"/>
      <c r="E11" s="38"/>
      <c r="F11" s="38"/>
      <c r="G11" s="38"/>
      <c r="H11" s="38"/>
    </row>
    <row r="12" spans="2:15" ht="21" thickTop="1" thickBot="1">
      <c r="B12" s="39"/>
      <c r="C12" s="157" t="s">
        <v>43</v>
      </c>
      <c r="D12" s="158"/>
      <c r="E12" s="158"/>
      <c r="F12" s="159"/>
      <c r="G12" s="160"/>
      <c r="H12" s="43" t="s">
        <v>48</v>
      </c>
      <c r="I12" s="587" t="s">
        <v>55</v>
      </c>
      <c r="J12" s="588"/>
      <c r="K12" s="4"/>
    </row>
    <row r="13" spans="2:15" ht="18.75" thickBot="1">
      <c r="B13" s="39"/>
      <c r="C13" s="161" t="s">
        <v>44</v>
      </c>
      <c r="D13" s="162"/>
      <c r="E13" s="162"/>
      <c r="F13" s="163"/>
      <c r="G13" s="164"/>
      <c r="H13" s="165">
        <f>O9*K3</f>
        <v>832103300000</v>
      </c>
      <c r="I13" s="589"/>
      <c r="J13" s="590"/>
    </row>
    <row r="14" spans="2:15" ht="18.75" thickBot="1">
      <c r="B14" s="39"/>
      <c r="C14" s="166" t="s">
        <v>45</v>
      </c>
      <c r="D14" s="167"/>
      <c r="E14" s="167"/>
      <c r="F14" s="168"/>
      <c r="G14" s="169"/>
      <c r="H14" s="170">
        <f>(H15*K6)-H13</f>
        <v>193804716372.22778</v>
      </c>
      <c r="I14" s="591"/>
      <c r="J14" s="592"/>
    </row>
    <row r="15" spans="2:15" ht="18.75" thickBot="1">
      <c r="B15" s="39"/>
      <c r="C15" s="171" t="s">
        <v>46</v>
      </c>
      <c r="D15" s="171"/>
      <c r="E15" s="171"/>
      <c r="F15" s="172"/>
      <c r="G15" s="173"/>
      <c r="H15" s="174">
        <f>H13*(J4/K8)*(1+J4/K8)^K6/((1+J4/K8)^K6-1)</f>
        <v>102590801637.22278</v>
      </c>
      <c r="I15" s="580"/>
      <c r="J15" s="581"/>
      <c r="O15" s="195"/>
    </row>
    <row r="16" spans="2:15" ht="18.75" thickBot="1">
      <c r="B16" s="39"/>
      <c r="C16" s="171" t="s">
        <v>50</v>
      </c>
      <c r="D16" s="171"/>
      <c r="E16" s="171"/>
      <c r="F16" s="172"/>
      <c r="G16" s="172"/>
      <c r="H16" s="175">
        <f>H13/K6</f>
        <v>83210330000</v>
      </c>
      <c r="I16" s="580"/>
      <c r="J16" s="581"/>
    </row>
    <row r="17" spans="2:15" ht="18.75" thickBot="1">
      <c r="B17" s="39"/>
      <c r="C17" s="176" t="s">
        <v>51</v>
      </c>
      <c r="D17" s="177"/>
      <c r="E17" s="177"/>
      <c r="F17" s="178"/>
      <c r="G17" s="179"/>
      <c r="H17" s="175">
        <f>H14/K6</f>
        <v>19380471637.222778</v>
      </c>
      <c r="I17" s="580"/>
      <c r="J17" s="581"/>
      <c r="O17" s="195"/>
    </row>
    <row r="18" spans="2:15" ht="18.75" thickBot="1">
      <c r="B18" s="39"/>
      <c r="C18" s="180" t="s">
        <v>47</v>
      </c>
      <c r="D18" s="181"/>
      <c r="E18" s="181"/>
      <c r="F18" s="182"/>
      <c r="G18" s="183"/>
      <c r="H18" s="184">
        <f>H15*K6</f>
        <v>1025908016372.2278</v>
      </c>
      <c r="I18" s="582"/>
      <c r="J18" s="583"/>
    </row>
    <row r="19" spans="2:15" ht="15.75" thickTop="1">
      <c r="F19" s="42"/>
      <c r="G19" s="42"/>
      <c r="H19" s="42"/>
    </row>
  </sheetData>
  <mergeCells count="11">
    <mergeCell ref="C2:L2"/>
    <mergeCell ref="I17:J17"/>
    <mergeCell ref="I18:J18"/>
    <mergeCell ref="C3:G3"/>
    <mergeCell ref="C4:D4"/>
    <mergeCell ref="C5:D5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rightToLeft="1" topLeftCell="A14" workbookViewId="0">
      <selection activeCell="R37" sqref="R37"/>
    </sheetView>
  </sheetViews>
  <sheetFormatPr defaultRowHeight="15"/>
  <sheetData>
    <row r="1" spans="2:16" ht="27" thickTop="1">
      <c r="B1" s="54"/>
      <c r="C1" s="42"/>
      <c r="D1" s="597" t="s">
        <v>57</v>
      </c>
      <c r="E1" s="597"/>
      <c r="F1" s="597"/>
      <c r="G1" s="597"/>
      <c r="H1" s="597"/>
      <c r="I1" s="597"/>
      <c r="J1" s="597"/>
      <c r="K1" s="597"/>
      <c r="L1" s="597"/>
      <c r="M1" s="597"/>
      <c r="N1" s="42"/>
      <c r="O1" s="42"/>
      <c r="P1" s="55"/>
    </row>
    <row r="2" spans="2:16">
      <c r="B2" s="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9"/>
    </row>
    <row r="3" spans="2:16" ht="15.75" thickBot="1">
      <c r="B3" s="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9"/>
    </row>
    <row r="4" spans="2:16" ht="20.25" thickTop="1">
      <c r="B4" s="4"/>
      <c r="C4" s="598" t="s">
        <v>58</v>
      </c>
      <c r="D4" s="598"/>
      <c r="E4" s="598"/>
      <c r="F4" s="598"/>
      <c r="G4" s="598"/>
      <c r="H4" s="598"/>
      <c r="I4" s="32"/>
      <c r="J4" s="32"/>
      <c r="K4" s="596" t="s">
        <v>65</v>
      </c>
      <c r="L4" s="596"/>
      <c r="M4" s="596"/>
      <c r="N4" s="596"/>
      <c r="O4" s="596"/>
      <c r="P4" s="39"/>
    </row>
    <row r="5" spans="2:16" ht="19.5">
      <c r="B5" s="4"/>
      <c r="C5" s="599"/>
      <c r="D5" s="600"/>
      <c r="E5" s="600"/>
      <c r="F5" s="600"/>
      <c r="G5" s="601"/>
      <c r="H5" s="46" t="s">
        <v>59</v>
      </c>
      <c r="I5" s="4"/>
      <c r="J5" s="32"/>
      <c r="K5" s="56" t="s">
        <v>66</v>
      </c>
      <c r="L5" s="56"/>
      <c r="M5" s="56"/>
      <c r="N5" s="56"/>
      <c r="O5" s="57">
        <v>0.12</v>
      </c>
      <c r="P5" s="39"/>
    </row>
    <row r="6" spans="2:16">
      <c r="B6" s="4"/>
      <c r="C6" s="599"/>
      <c r="D6" s="600"/>
      <c r="E6" s="600"/>
      <c r="F6" s="600"/>
      <c r="G6" s="601"/>
      <c r="H6" s="46" t="s">
        <v>60</v>
      </c>
      <c r="I6" s="4"/>
      <c r="J6" s="32"/>
      <c r="K6" s="32"/>
      <c r="L6" s="32"/>
      <c r="M6" s="32"/>
      <c r="N6" s="32"/>
      <c r="O6" s="32"/>
      <c r="P6" s="39"/>
    </row>
    <row r="7" spans="2:16">
      <c r="B7" s="4"/>
      <c r="C7" s="599"/>
      <c r="D7" s="600"/>
      <c r="E7" s="600"/>
      <c r="F7" s="600"/>
      <c r="G7" s="601"/>
      <c r="H7" s="47" t="s">
        <v>61</v>
      </c>
      <c r="I7" s="32"/>
      <c r="J7" s="32"/>
      <c r="K7" s="32"/>
      <c r="L7" s="32"/>
      <c r="M7" s="32"/>
      <c r="N7" s="32"/>
      <c r="O7" s="32"/>
      <c r="P7" s="39"/>
    </row>
    <row r="8" spans="2:16">
      <c r="B8" s="4"/>
      <c r="C8" s="599"/>
      <c r="D8" s="600"/>
      <c r="E8" s="600"/>
      <c r="F8" s="600"/>
      <c r="G8" s="601"/>
      <c r="H8" s="46" t="s">
        <v>62</v>
      </c>
      <c r="I8" s="4"/>
      <c r="J8" s="32"/>
      <c r="K8" s="32"/>
      <c r="L8" s="32"/>
      <c r="M8" s="32"/>
      <c r="N8" s="32"/>
      <c r="O8" s="32"/>
      <c r="P8" s="39"/>
    </row>
    <row r="9" spans="2:16">
      <c r="B9" s="4"/>
      <c r="C9" s="599"/>
      <c r="D9" s="600"/>
      <c r="E9" s="600"/>
      <c r="F9" s="600"/>
      <c r="G9" s="601"/>
      <c r="H9" s="46" t="s">
        <v>63</v>
      </c>
      <c r="I9" s="4"/>
      <c r="J9" s="32"/>
      <c r="K9" s="32"/>
      <c r="L9" s="32"/>
      <c r="M9" s="32"/>
      <c r="N9" s="32"/>
      <c r="O9" s="32"/>
      <c r="P9" s="39"/>
    </row>
    <row r="10" spans="2:16" ht="15.75" thickBot="1">
      <c r="B10" s="4"/>
      <c r="C10" s="593"/>
      <c r="D10" s="594"/>
      <c r="E10" s="594"/>
      <c r="F10" s="594"/>
      <c r="G10" s="595"/>
      <c r="H10" s="45" t="s">
        <v>64</v>
      </c>
      <c r="I10" s="4"/>
      <c r="J10" s="32"/>
      <c r="K10" s="32"/>
      <c r="L10" s="32"/>
      <c r="M10" s="32"/>
      <c r="N10" s="32"/>
      <c r="O10" s="32"/>
      <c r="P10" s="39"/>
    </row>
    <row r="11" spans="2:16" ht="16.5" thickTop="1" thickBot="1">
      <c r="B11" s="4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9"/>
    </row>
    <row r="12" spans="2:16" ht="27.75" thickTop="1" thickBot="1">
      <c r="B12" s="4"/>
      <c r="C12" s="50" t="s">
        <v>67</v>
      </c>
      <c r="D12" s="51"/>
      <c r="E12" s="51"/>
      <c r="F12" s="52"/>
      <c r="G12" s="52"/>
      <c r="H12" s="53">
        <v>0.12</v>
      </c>
      <c r="I12" s="32"/>
      <c r="J12" s="32"/>
      <c r="K12" s="32"/>
      <c r="L12" s="32"/>
      <c r="M12" s="32"/>
      <c r="N12" s="32"/>
      <c r="O12" s="32"/>
      <c r="P12" s="39"/>
    </row>
    <row r="13" spans="2:16" ht="16.5" thickTop="1" thickBot="1">
      <c r="B13" s="40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1"/>
    </row>
    <row r="14" spans="2:16" ht="15.75" thickTop="1"/>
  </sheetData>
  <mergeCells count="9">
    <mergeCell ref="C10:G10"/>
    <mergeCell ref="K4:O4"/>
    <mergeCell ref="D1:M1"/>
    <mergeCell ref="C4:H4"/>
    <mergeCell ref="C5:G5"/>
    <mergeCell ref="C6:G6"/>
    <mergeCell ref="C7:G7"/>
    <mergeCell ref="C8:G8"/>
    <mergeCell ref="C9:G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rightToLeft="1" workbookViewId="0">
      <selection activeCell="C4" sqref="C4:G4"/>
    </sheetView>
  </sheetViews>
  <sheetFormatPr defaultRowHeight="15"/>
  <cols>
    <col min="6" max="6" width="11.5703125" bestFit="1" customWidth="1"/>
    <col min="8" max="8" width="19.85546875" bestFit="1" customWidth="1"/>
    <col min="13" max="13" width="22.28515625" customWidth="1"/>
  </cols>
  <sheetData>
    <row r="1" spans="2:15" ht="35.25" customHeight="1" thickBot="1">
      <c r="B1" s="32"/>
      <c r="C1" s="602" t="s">
        <v>49</v>
      </c>
      <c r="D1" s="602"/>
      <c r="E1" s="602"/>
      <c r="F1" s="602"/>
      <c r="G1" s="602"/>
      <c r="H1" s="602"/>
      <c r="I1" s="602"/>
      <c r="J1" s="59"/>
      <c r="K1" s="59"/>
      <c r="L1" s="59"/>
      <c r="M1" s="59"/>
      <c r="N1" s="59"/>
      <c r="O1" s="59"/>
    </row>
    <row r="2" spans="2:15" ht="21" thickTop="1" thickBot="1">
      <c r="C2" s="612" t="s">
        <v>79</v>
      </c>
      <c r="D2" s="613"/>
      <c r="E2" s="613"/>
      <c r="F2" s="613"/>
      <c r="G2" s="614"/>
      <c r="H2" s="145" t="s">
        <v>75</v>
      </c>
      <c r="I2" s="62" t="s">
        <v>78</v>
      </c>
      <c r="J2" s="61"/>
      <c r="K2" s="59"/>
      <c r="L2" s="59"/>
      <c r="M2" s="59"/>
      <c r="N2" s="59"/>
      <c r="O2" s="59"/>
    </row>
    <row r="3" spans="2:15" ht="19.5" thickTop="1" thickBot="1">
      <c r="C3" s="615" t="s">
        <v>68</v>
      </c>
      <c r="D3" s="616"/>
      <c r="E3" s="616"/>
      <c r="F3" s="616"/>
      <c r="G3" s="617"/>
      <c r="H3" s="298">
        <f>('اطلاعات ورودی'!G28+'اطلاعات ورودی'!G29+'اطلاعات ورودی'!G30+'اطلاعات ورودی'!G31)*'اطلاعات ورودی'!G6*'اطلاعات ورودی'!G5</f>
        <v>908950000000</v>
      </c>
      <c r="I3" s="186">
        <f t="shared" ref="I3:I12" si="0">H3/$H$13</f>
        <v>0.56223195477897159</v>
      </c>
      <c r="J3" s="61"/>
      <c r="K3" s="60"/>
      <c r="L3" s="60"/>
      <c r="M3" s="60"/>
      <c r="N3" s="60"/>
      <c r="O3" s="60"/>
    </row>
    <row r="4" spans="2:15" ht="19.5" thickTop="1" thickBot="1">
      <c r="C4" s="603" t="s">
        <v>69</v>
      </c>
      <c r="D4" s="604"/>
      <c r="E4" s="604"/>
      <c r="F4" s="604"/>
      <c r="G4" s="605"/>
      <c r="H4" s="299">
        <v>0</v>
      </c>
      <c r="I4" s="186">
        <f t="shared" si="0"/>
        <v>0</v>
      </c>
      <c r="J4" s="61"/>
      <c r="K4" s="60"/>
      <c r="L4" s="60"/>
      <c r="M4" s="60"/>
      <c r="N4" s="60"/>
      <c r="O4" s="60"/>
    </row>
    <row r="5" spans="2:15" ht="19.5" thickTop="1" thickBot="1">
      <c r="C5" s="603" t="s">
        <v>311</v>
      </c>
      <c r="D5" s="604"/>
      <c r="E5" s="604"/>
      <c r="F5" s="604"/>
      <c r="G5" s="605"/>
      <c r="H5" s="298">
        <f>'اطلاعات ورودی'!G32*'اطلاعات ورودی'!G6*'اطلاعات ورودی'!G5</f>
        <v>189875000000</v>
      </c>
      <c r="I5" s="186">
        <f t="shared" si="0"/>
        <v>0.1174473759983027</v>
      </c>
      <c r="J5" s="61"/>
      <c r="K5" s="60"/>
      <c r="L5" s="60"/>
      <c r="M5" s="60"/>
      <c r="N5" s="60"/>
      <c r="O5" s="60"/>
    </row>
    <row r="6" spans="2:15" ht="19.5" thickTop="1" thickBot="1">
      <c r="C6" s="603" t="s">
        <v>152</v>
      </c>
      <c r="D6" s="604"/>
      <c r="E6" s="604"/>
      <c r="F6" s="604"/>
      <c r="G6" s="605"/>
      <c r="H6" s="298">
        <f>'اطلاعات ورودی'!G33*'اطلاعات ورودی'!G6*'اطلاعات ورودی'!G5</f>
        <v>245000000000</v>
      </c>
      <c r="I6" s="186">
        <f t="shared" si="0"/>
        <v>0.1515450012881325</v>
      </c>
      <c r="J6" s="61"/>
      <c r="K6" s="60"/>
      <c r="L6" s="60"/>
      <c r="M6" s="185"/>
      <c r="N6" s="60"/>
      <c r="O6" s="60"/>
    </row>
    <row r="7" spans="2:15" ht="19.5" thickTop="1" thickBot="1">
      <c r="C7" s="603" t="s">
        <v>70</v>
      </c>
      <c r="D7" s="604"/>
      <c r="E7" s="604"/>
      <c r="F7" s="604"/>
      <c r="G7" s="605"/>
      <c r="H7" s="298">
        <f>'اطلاعات ورودی'!G34*'اطلاعات ورودی'!G5*'اطلاعات ورودی'!G6</f>
        <v>31531500000</v>
      </c>
      <c r="I7" s="186">
        <f t="shared" si="0"/>
        <v>1.9503841665782656E-2</v>
      </c>
      <c r="J7" s="61"/>
      <c r="K7" s="60"/>
      <c r="L7" s="60"/>
      <c r="M7" s="60"/>
      <c r="N7" s="60"/>
      <c r="O7" s="60"/>
    </row>
    <row r="8" spans="2:15" ht="19.5" thickTop="1" thickBot="1">
      <c r="C8" s="603" t="s">
        <v>76</v>
      </c>
      <c r="D8" s="604"/>
      <c r="E8" s="604"/>
      <c r="F8" s="604"/>
      <c r="G8" s="605"/>
      <c r="H8" s="299">
        <v>0</v>
      </c>
      <c r="I8" s="186">
        <f t="shared" si="0"/>
        <v>0</v>
      </c>
      <c r="J8" s="61"/>
      <c r="K8" s="60"/>
      <c r="L8" s="60"/>
      <c r="M8" s="60"/>
      <c r="N8" s="60"/>
      <c r="O8" s="60"/>
    </row>
    <row r="9" spans="2:15" ht="19.5" thickTop="1" thickBot="1">
      <c r="C9" s="603" t="s">
        <v>71</v>
      </c>
      <c r="D9" s="604"/>
      <c r="E9" s="604"/>
      <c r="F9" s="604"/>
      <c r="G9" s="605"/>
      <c r="H9" s="299">
        <v>0</v>
      </c>
      <c r="I9" s="186">
        <f t="shared" si="0"/>
        <v>0</v>
      </c>
      <c r="J9" s="61"/>
      <c r="K9" s="60"/>
      <c r="L9" s="60"/>
      <c r="M9" s="209"/>
      <c r="N9" s="60"/>
      <c r="O9" s="60"/>
    </row>
    <row r="10" spans="2:15" ht="19.5" thickTop="1" thickBot="1">
      <c r="C10" s="603" t="s">
        <v>72</v>
      </c>
      <c r="D10" s="604"/>
      <c r="E10" s="604"/>
      <c r="F10" s="604"/>
      <c r="G10" s="605"/>
      <c r="H10" s="298">
        <f>'اطلاعات ورودی'!G36*'اطلاعات ورودی'!G5*'اطلاعات ورودی'!G6</f>
        <v>61250000000</v>
      </c>
      <c r="I10" s="186">
        <f t="shared" si="0"/>
        <v>3.7886250322033126E-2</v>
      </c>
      <c r="J10" s="61"/>
      <c r="K10" s="60"/>
      <c r="L10" s="60"/>
      <c r="M10" s="60"/>
      <c r="N10" s="60"/>
      <c r="O10" s="60"/>
    </row>
    <row r="11" spans="2:15" ht="19.5" thickTop="1" thickBot="1">
      <c r="C11" s="603" t="s">
        <v>73</v>
      </c>
      <c r="D11" s="604"/>
      <c r="E11" s="604"/>
      <c r="F11" s="604"/>
      <c r="G11" s="605"/>
      <c r="H11" s="298">
        <f>'اطلاعات ورودی'!G35*'اطلاعات ورودی'!G5*'اطلاعات ورودی'!G6</f>
        <v>159250000000</v>
      </c>
      <c r="I11" s="186">
        <f t="shared" si="0"/>
        <v>9.8504250837286131E-2</v>
      </c>
      <c r="J11" s="61"/>
      <c r="K11" s="60"/>
      <c r="L11" s="60"/>
      <c r="M11" s="60"/>
      <c r="N11" s="60"/>
      <c r="O11" s="60"/>
    </row>
    <row r="12" spans="2:15" ht="19.5" thickTop="1" thickBot="1">
      <c r="C12" s="603" t="s">
        <v>74</v>
      </c>
      <c r="D12" s="604"/>
      <c r="E12" s="604"/>
      <c r="F12" s="604"/>
      <c r="G12" s="605"/>
      <c r="H12" s="298">
        <f>'اطلاعات ورودی'!G37*'اطلاعات ورودی'!G5*'اطلاعات ورودی'!G6</f>
        <v>20825000000</v>
      </c>
      <c r="I12" s="186">
        <f t="shared" si="0"/>
        <v>1.2881325109491264E-2</v>
      </c>
      <c r="J12" s="61"/>
      <c r="K12" s="60"/>
      <c r="L12" s="60"/>
      <c r="M12" s="60"/>
      <c r="N12" s="60"/>
      <c r="O12" s="60"/>
    </row>
    <row r="13" spans="2:15" ht="19.5" thickTop="1" thickBot="1">
      <c r="C13" s="609" t="s">
        <v>77</v>
      </c>
      <c r="D13" s="610"/>
      <c r="E13" s="610"/>
      <c r="F13" s="610"/>
      <c r="G13" s="611"/>
      <c r="H13" s="300">
        <f>SUM(H3:H12)</f>
        <v>1616681500000</v>
      </c>
      <c r="I13" s="187">
        <f>SUM(I3:I12)</f>
        <v>0.99999999999999989</v>
      </c>
      <c r="J13" s="61"/>
      <c r="K13" s="60"/>
      <c r="L13" s="60"/>
      <c r="M13" s="156"/>
      <c r="N13" s="60"/>
      <c r="O13" s="60"/>
    </row>
    <row r="14" spans="2:15" ht="16.5" thickTop="1" thickBot="1">
      <c r="C14" s="52"/>
      <c r="D14" s="52"/>
      <c r="E14" s="52"/>
      <c r="F14" s="52"/>
      <c r="G14" s="52"/>
      <c r="H14" s="52"/>
      <c r="I14" s="52"/>
    </row>
    <row r="15" spans="2:15" ht="19.5" customHeight="1" thickTop="1" thickBot="1">
      <c r="B15" s="39"/>
      <c r="C15" s="606" t="s">
        <v>312</v>
      </c>
      <c r="D15" s="607"/>
      <c r="E15" s="607"/>
      <c r="F15" s="607"/>
      <c r="G15" s="608"/>
      <c r="H15" s="65">
        <f>'تسهیلات بانکی'!O6</f>
        <v>427962500000</v>
      </c>
      <c r="I15" s="64" t="s">
        <v>82</v>
      </c>
    </row>
    <row r="16" spans="2:15" ht="16.5" customHeight="1" thickTop="1" thickBot="1">
      <c r="B16" s="39"/>
      <c r="C16" s="606" t="s">
        <v>80</v>
      </c>
      <c r="D16" s="607"/>
      <c r="E16" s="607"/>
      <c r="F16" s="607"/>
      <c r="G16" s="608"/>
      <c r="H16" s="65">
        <f>'تسهیلات بانکی'!H13</f>
        <v>832103300000</v>
      </c>
      <c r="I16" s="64" t="s">
        <v>82</v>
      </c>
    </row>
    <row r="17" spans="3:13" ht="16.5" customHeight="1" thickTop="1" thickBot="1">
      <c r="C17" s="250" t="s">
        <v>81</v>
      </c>
      <c r="D17" s="251"/>
      <c r="E17" s="251"/>
      <c r="F17" s="251"/>
      <c r="G17" s="252"/>
      <c r="H17" s="66">
        <f>'تسهیلات بانکی'!O3-'تسهیلات بانکی'!O6-'تسهیلات بانکی'!H13</f>
        <v>356615700000</v>
      </c>
      <c r="I17" s="64" t="s">
        <v>83</v>
      </c>
    </row>
    <row r="18" spans="3:13" ht="15.75" customHeight="1" thickTop="1" thickBot="1">
      <c r="C18" s="250" t="s">
        <v>84</v>
      </c>
      <c r="D18" s="251"/>
      <c r="E18" s="251"/>
      <c r="F18" s="251"/>
      <c r="G18" s="252"/>
      <c r="H18" s="67">
        <f>H13/'اطلاعات ورودی'!G6</f>
        <v>46190900</v>
      </c>
      <c r="I18" s="64" t="s">
        <v>82</v>
      </c>
    </row>
    <row r="19" spans="3:13" ht="19.5" thickTop="1" thickBot="1">
      <c r="H19" s="65">
        <f>H18/'اطلاعات ورودی'!G5</f>
        <v>1319.74</v>
      </c>
      <c r="I19" s="64" t="s">
        <v>85</v>
      </c>
      <c r="M19" s="254"/>
    </row>
    <row r="20" spans="3:13" ht="15.75" thickTop="1"/>
    <row r="22" spans="3:13">
      <c r="F22" s="301"/>
      <c r="H22" s="128"/>
    </row>
  </sheetData>
  <mergeCells count="15">
    <mergeCell ref="C1:I1"/>
    <mergeCell ref="C6:G6"/>
    <mergeCell ref="C7:G7"/>
    <mergeCell ref="C8:G8"/>
    <mergeCell ref="C16:G16"/>
    <mergeCell ref="C11:G11"/>
    <mergeCell ref="C12:G12"/>
    <mergeCell ref="C13:G13"/>
    <mergeCell ref="C15:G15"/>
    <mergeCell ref="C9:G9"/>
    <mergeCell ref="C10:G10"/>
    <mergeCell ref="C2:G2"/>
    <mergeCell ref="C3:G3"/>
    <mergeCell ref="C4:G4"/>
    <mergeCell ref="C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اطلاعات ورودی</vt:lpstr>
      <vt:lpstr>هزینه مواد مصرفی و قطعات یدکی</vt:lpstr>
      <vt:lpstr>هزینه مواد شیمیایی و شستشو</vt:lpstr>
      <vt:lpstr>تعرفه برق</vt:lpstr>
      <vt:lpstr>هزینه نیروی انسانی</vt:lpstr>
      <vt:lpstr>استهلاک سرمایه</vt:lpstr>
      <vt:lpstr>تسهیلات بانکی</vt:lpstr>
      <vt:lpstr>ضریب تعدیل سالیانه</vt:lpstr>
      <vt:lpstr>هزینه سرمایه گذاری ثابت</vt:lpstr>
      <vt:lpstr>Sheet2</vt:lpstr>
      <vt:lpstr>هزینه متغیر در سال اول</vt:lpstr>
      <vt:lpstr>آنالیز قیمت هر متر مکعب</vt:lpstr>
      <vt:lpstr>هزینه متغیر 15 سال</vt:lpstr>
      <vt:lpstr>محاسبه درآمد و سود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Mashhadi Tafreshi , Mahdi</dc:creator>
  <cp:lastModifiedBy>Fazlollahi_ab</cp:lastModifiedBy>
  <dcterms:created xsi:type="dcterms:W3CDTF">2015-09-06T09:21:08Z</dcterms:created>
  <dcterms:modified xsi:type="dcterms:W3CDTF">2015-10-21T14:05:07Z</dcterms:modified>
</cp:coreProperties>
</file>