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آقای معتمدی\"/>
    </mc:Choice>
  </mc:AlternateContent>
  <bookViews>
    <workbookView xWindow="0" yWindow="0" windowWidth="20400" windowHeight="9900"/>
  </bookViews>
  <sheets>
    <sheet name="جدول " sheetId="4" r:id="rId1"/>
    <sheet name="تير 96 دارخوين " sheetId="1" r:id="rId2"/>
    <sheet name="عیدی سنوات " sheetId="3" r:id="rId3"/>
  </sheets>
  <definedNames>
    <definedName name="_xlnm.Print_Area" localSheetId="0">'جدول '!$B$1:$J$14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H5" i="4"/>
  <c r="F5" i="4"/>
  <c r="F6" i="4" s="1"/>
  <c r="E5" i="4"/>
  <c r="E6" i="4"/>
  <c r="I6" i="4"/>
  <c r="H6" i="4"/>
  <c r="O28" i="3"/>
  <c r="G28" i="3"/>
  <c r="H28" i="3"/>
  <c r="I28" i="3"/>
  <c r="J28" i="3"/>
  <c r="K28" i="3"/>
  <c r="L28" i="3"/>
  <c r="M28" i="3"/>
  <c r="N28" i="3"/>
  <c r="F28" i="3"/>
  <c r="G6" i="4" l="1"/>
  <c r="J5" i="4"/>
  <c r="J6" i="4" s="1"/>
  <c r="J7" i="4" s="1"/>
  <c r="J8" i="4" l="1"/>
  <c r="J9" i="4" s="1"/>
  <c r="E28" i="1" l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D28" i="1"/>
  <c r="A22" i="1"/>
  <c r="B22" i="1"/>
  <c r="C22" i="1"/>
  <c r="AG22" i="1"/>
  <c r="AH22" i="1"/>
  <c r="AI22" i="1"/>
  <c r="AJ22" i="1"/>
  <c r="A23" i="1"/>
  <c r="B23" i="1"/>
  <c r="C23" i="1"/>
  <c r="AG23" i="1"/>
  <c r="AH23" i="1"/>
  <c r="AI23" i="1"/>
  <c r="AJ23" i="1"/>
  <c r="A24" i="1"/>
  <c r="B24" i="1"/>
  <c r="C24" i="1"/>
  <c r="AG24" i="1"/>
  <c r="AH24" i="1"/>
  <c r="AI24" i="1"/>
  <c r="AJ24" i="1"/>
  <c r="A25" i="1"/>
  <c r="B25" i="1"/>
  <c r="C25" i="1"/>
  <c r="AG25" i="1"/>
  <c r="AH25" i="1"/>
  <c r="AI25" i="1"/>
  <c r="AJ25" i="1"/>
  <c r="A26" i="1"/>
  <c r="B26" i="1"/>
  <c r="C26" i="1"/>
  <c r="AG26" i="1"/>
  <c r="AH26" i="1"/>
  <c r="AI26" i="1"/>
  <c r="AJ26" i="1"/>
  <c r="A27" i="1"/>
  <c r="B27" i="1"/>
  <c r="C27" i="1"/>
  <c r="AG27" i="1"/>
  <c r="AH27" i="1"/>
  <c r="AI27" i="1"/>
  <c r="AJ27" i="1"/>
  <c r="A12" i="1"/>
  <c r="B12" i="1"/>
  <c r="C12" i="1"/>
  <c r="AG12" i="1"/>
  <c r="AH12" i="1"/>
  <c r="AI12" i="1"/>
  <c r="AJ12" i="1"/>
  <c r="A13" i="1"/>
  <c r="B13" i="1"/>
  <c r="C13" i="1"/>
  <c r="AG13" i="1"/>
  <c r="AH13" i="1"/>
  <c r="AI13" i="1"/>
  <c r="AJ13" i="1"/>
  <c r="A14" i="1"/>
  <c r="B14" i="1"/>
  <c r="C14" i="1"/>
  <c r="AG14" i="1"/>
  <c r="AH14" i="1"/>
  <c r="AI14" i="1"/>
  <c r="AJ14" i="1"/>
  <c r="A15" i="1"/>
  <c r="B15" i="1"/>
  <c r="C15" i="1"/>
  <c r="AG15" i="1"/>
  <c r="AH15" i="1"/>
  <c r="AI15" i="1"/>
  <c r="AJ15" i="1"/>
  <c r="A16" i="1"/>
  <c r="B16" i="1"/>
  <c r="C16" i="1"/>
  <c r="AG16" i="1"/>
  <c r="AH16" i="1"/>
  <c r="AI16" i="1"/>
  <c r="AJ16" i="1"/>
  <c r="A17" i="1"/>
  <c r="B17" i="1"/>
  <c r="C17" i="1"/>
  <c r="AG17" i="1"/>
  <c r="AH17" i="1"/>
  <c r="AI17" i="1"/>
  <c r="AJ17" i="1"/>
  <c r="A18" i="1"/>
  <c r="B18" i="1"/>
  <c r="C18" i="1"/>
  <c r="AG18" i="1"/>
  <c r="AH18" i="1"/>
  <c r="AI18" i="1"/>
  <c r="AJ18" i="1"/>
  <c r="A19" i="1"/>
  <c r="B19" i="1"/>
  <c r="C19" i="1"/>
  <c r="AG19" i="1"/>
  <c r="AH19" i="1"/>
  <c r="AI19" i="1"/>
  <c r="AJ19" i="1"/>
  <c r="A20" i="1"/>
  <c r="B20" i="1"/>
  <c r="C20" i="1"/>
  <c r="AG20" i="1"/>
  <c r="AH20" i="1"/>
  <c r="AI20" i="1"/>
  <c r="AJ20" i="1"/>
  <c r="A21" i="1"/>
  <c r="B21" i="1"/>
  <c r="C21" i="1"/>
  <c r="AG21" i="1"/>
  <c r="AH21" i="1"/>
  <c r="AI21" i="1"/>
  <c r="AJ21" i="1"/>
  <c r="A2" i="1"/>
  <c r="B2" i="1"/>
  <c r="C2" i="1"/>
  <c r="AG2" i="1"/>
  <c r="AH2" i="1"/>
  <c r="AI2" i="1"/>
  <c r="AJ2" i="1"/>
  <c r="A3" i="1"/>
  <c r="B3" i="1"/>
  <c r="C3" i="1"/>
  <c r="AG3" i="1"/>
  <c r="AH3" i="1"/>
  <c r="AI3" i="1"/>
  <c r="AJ3" i="1"/>
  <c r="A4" i="1"/>
  <c r="B4" i="1"/>
  <c r="C4" i="1"/>
  <c r="AG4" i="1"/>
  <c r="AH4" i="1"/>
  <c r="AI4" i="1"/>
  <c r="AJ4" i="1"/>
  <c r="A5" i="1"/>
  <c r="B5" i="1"/>
  <c r="C5" i="1"/>
  <c r="AG5" i="1"/>
  <c r="AH5" i="1"/>
  <c r="AI5" i="1"/>
  <c r="AJ5" i="1"/>
  <c r="A6" i="1"/>
  <c r="B6" i="1"/>
  <c r="C6" i="1"/>
  <c r="AG6" i="1"/>
  <c r="AH6" i="1"/>
  <c r="AI6" i="1"/>
  <c r="AJ6" i="1"/>
  <c r="A7" i="1"/>
  <c r="B7" i="1"/>
  <c r="C7" i="1"/>
  <c r="AG7" i="1"/>
  <c r="AH7" i="1"/>
  <c r="AI7" i="1"/>
  <c r="AJ7" i="1"/>
  <c r="A8" i="1"/>
  <c r="B8" i="1"/>
  <c r="C8" i="1"/>
  <c r="AG8" i="1"/>
  <c r="AH8" i="1"/>
  <c r="AI8" i="1"/>
  <c r="AJ8" i="1"/>
  <c r="A9" i="1"/>
  <c r="B9" i="1"/>
  <c r="C9" i="1"/>
  <c r="AG9" i="1"/>
  <c r="AH9" i="1"/>
  <c r="AI9" i="1"/>
  <c r="AJ9" i="1"/>
  <c r="A10" i="1"/>
  <c r="B10" i="1"/>
  <c r="C10" i="1"/>
  <c r="AG10" i="1"/>
  <c r="AH10" i="1"/>
  <c r="AI10" i="1"/>
  <c r="AJ10" i="1"/>
  <c r="A11" i="1"/>
  <c r="B11" i="1"/>
  <c r="C11" i="1"/>
  <c r="AG11" i="1"/>
  <c r="AH11" i="1"/>
  <c r="AI11" i="1"/>
  <c r="AJ11" i="1"/>
  <c r="AI28" i="1" l="1"/>
  <c r="AG28" i="1"/>
  <c r="AJ28" i="1"/>
  <c r="AH28" i="1"/>
</calcChain>
</file>

<file path=xl/sharedStrings.xml><?xml version="1.0" encoding="utf-8"?>
<sst xmlns="http://schemas.openxmlformats.org/spreadsheetml/2006/main" count="214" uniqueCount="176">
  <si>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</si>
  <si>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</si>
  <si>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</si>
  <si>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</si>
  <si>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</si>
  <si>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</si>
  <si>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</si>
  <si>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</si>
  <si>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</si>
  <si>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پاداش</t>
  </si>
  <si>
    <t>حق ناهار</t>
  </si>
  <si>
    <t>اياب وذهاب</t>
  </si>
  <si>
    <t>مزد شغل</t>
  </si>
  <si>
    <t>مزد رتبه</t>
  </si>
  <si>
    <t>مزد سنوات</t>
  </si>
  <si>
    <t>مزد پست</t>
  </si>
  <si>
    <t>مزاياي ماندگاري پست</t>
  </si>
  <si>
    <t>بيمه تامين اجتماعي - سهم كارمند</t>
  </si>
  <si>
    <t>جمع اقساط وام</t>
  </si>
  <si>
    <t>عضويت رفاه پارسيان</t>
  </si>
  <si>
    <t>کسور اصلاح حقوق</t>
  </si>
  <si>
    <t>مساعده غيرستادي</t>
  </si>
  <si>
    <t>بيمه تامين اجتماعي سهم كارفرما</t>
  </si>
  <si>
    <t>بيمه بيكاري</t>
  </si>
  <si>
    <t>کنترل انباشت</t>
  </si>
  <si>
    <t>جمع مزايا قبل از بدهي</t>
  </si>
  <si>
    <t>جمع كسور قبل از روند</t>
  </si>
  <si>
    <t>كاركرد موثر</t>
  </si>
  <si>
    <t>مبلغ قابل پرداخت</t>
  </si>
  <si>
    <t>خالص پرداختي</t>
  </si>
  <si>
    <t>جمع حقوق و مزايا</t>
  </si>
  <si>
    <t>جمع كسور</t>
  </si>
  <si>
    <t>شعبات وزارت دارائي</t>
  </si>
  <si>
    <t>گروه مالياتي وزارت دارائي</t>
  </si>
  <si>
    <t>شعبات سازمان تامين اجتماعي</t>
  </si>
  <si>
    <t>شماره بيمهء سازمان تامين اجتماعي</t>
  </si>
  <si>
    <t xml:space="preserve"> مبلغ قسط بيمه درمان البرز شرکت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</si>
  <si>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</si>
  <si>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</si>
  <si>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</si>
  <si>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 xml:space="preserve"> مبلغ استقراربيمه درمان البرز شرکت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</si>
  <si>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</si>
  <si>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</si>
  <si>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</si>
  <si>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</si>
  <si>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</si>
  <si>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 xml:space="preserve"> مبلغ قسط بيمه عمر البرز شرکت</t>
  </si>
  <si>
    <t>باقيمانده‌ بيمه عمر البرز شرکت</t>
  </si>
  <si>
    <t>مجموع اقساط‌بيمه عمر البرز شرکت</t>
  </si>
  <si>
    <t>مبلغ‌بيمه عمر البرز شرکت</t>
  </si>
  <si>
    <t xml:space="preserve"> مبلغ استقراربيمه عمر البرز شرکت</t>
  </si>
  <si>
    <t>نام خانوادگي</t>
  </si>
  <si>
    <t>توليد توسعه - دارخوين</t>
  </si>
  <si>
    <t>9157041</t>
  </si>
  <si>
    <t>عيد آسماني</t>
  </si>
  <si>
    <t>9157043</t>
  </si>
  <si>
    <t>عبداله البوبالد</t>
  </si>
  <si>
    <t>9157044</t>
  </si>
  <si>
    <t>سعيد ال بوبالدي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</si>
  <si>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</si>
  <si>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</si>
  <si>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</si>
  <si>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</si>
  <si>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</si>
  <si>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</si>
  <si>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محمد</t>
  </si>
  <si>
    <t>9157049</t>
  </si>
  <si>
    <t>عبدالامام بالدي</t>
  </si>
  <si>
    <t>9157050</t>
  </si>
  <si>
    <t>حسين باوي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</si>
  <si>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</si>
  <si>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</si>
  <si>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</si>
  <si>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</si>
  <si>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</si>
  <si>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</si>
  <si>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9157057</t>
  </si>
  <si>
    <t>عباس بدوي</t>
  </si>
  <si>
    <t>عباس</t>
  </si>
  <si>
    <t>9157058</t>
  </si>
  <si>
    <t>طاهر پورحزبه</t>
  </si>
  <si>
    <t>طاهر</t>
  </si>
  <si>
    <t>9157059</t>
  </si>
  <si>
    <t>رحيم سياحي</t>
  </si>
  <si>
    <t>9157060</t>
  </si>
  <si>
    <t>مرد سياحي</t>
  </si>
  <si>
    <t>9157065</t>
  </si>
  <si>
    <t>رحيم عقباوي</t>
  </si>
  <si>
    <t>رحيم</t>
  </si>
  <si>
    <t>9157066</t>
  </si>
  <si>
    <t>جمشيد فرحانيان</t>
  </si>
  <si>
    <t>9157068</t>
  </si>
  <si>
    <t>مجتبي قنواتي زاده</t>
  </si>
  <si>
    <t>9157070</t>
  </si>
  <si>
    <t>فاضل مقدم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</si>
  <si>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</si>
  <si>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</si>
  <si>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</si>
  <si>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</si>
  <si>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</si>
  <si>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</si>
  <si>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9157081</t>
  </si>
  <si>
    <t>فهد چاملي</t>
  </si>
  <si>
    <t>9157089</t>
  </si>
  <si>
    <t>منصور خنفري راد</t>
  </si>
  <si>
    <t>9157090</t>
  </si>
  <si>
    <t>جميل زرگاني</t>
  </si>
  <si>
    <t>9157091</t>
  </si>
  <si>
    <t>علي ساري</t>
  </si>
  <si>
    <t>نام پدر</t>
  </si>
  <si>
    <t xml:space="preserve"> مبلغ در حكم مزد شغل</t>
  </si>
  <si>
    <t xml:space="preserve"> مبلغ در حكم مزد سنوات</t>
  </si>
  <si>
    <t xml:space="preserve"> مبلغ در حكم مزد رتبه</t>
  </si>
  <si>
    <t xml:space="preserve"> مبلغ در حكم مزاياي ماندگاري پست</t>
  </si>
  <si>
    <t xml:space="preserve"> مبلغ در حكم حق مسكن</t>
  </si>
  <si>
    <t xml:space="preserve"> مبلغ در حكم حق اولأد</t>
  </si>
  <si>
    <t xml:space="preserve"> مبلغ در حكم بن کارگري</t>
  </si>
  <si>
    <t xml:space="preserve">حکم حقوقی </t>
  </si>
  <si>
    <t xml:space="preserve">سنوات </t>
  </si>
  <si>
    <t xml:space="preserve">عیدی </t>
  </si>
  <si>
    <t>عزيز</t>
  </si>
  <si>
    <t>ريسان</t>
  </si>
  <si>
    <t>آسماني</t>
  </si>
  <si>
    <t>مويع</t>
  </si>
  <si>
    <t>البوبالد</t>
  </si>
  <si>
    <t>گتيش</t>
  </si>
  <si>
    <t>ال بوبالدي</t>
  </si>
  <si>
    <t>غدير</t>
  </si>
  <si>
    <t>آلبوبالدي</t>
  </si>
  <si>
    <t>عبدالخضر</t>
  </si>
  <si>
    <t>حاجي</t>
  </si>
  <si>
    <t>البوغبيش</t>
  </si>
  <si>
    <t>سحاک</t>
  </si>
  <si>
    <t>بالدي</t>
  </si>
  <si>
    <t>کاظم</t>
  </si>
  <si>
    <t>باوي</t>
  </si>
  <si>
    <t>عبدالحسين</t>
  </si>
  <si>
    <t>باوي سويره</t>
  </si>
  <si>
    <t>باوي فرد</t>
  </si>
  <si>
    <t>سناوي</t>
  </si>
  <si>
    <t>بدوي</t>
  </si>
  <si>
    <t>عاصي</t>
  </si>
  <si>
    <t>پورحزبه</t>
  </si>
  <si>
    <t>جهاد</t>
  </si>
  <si>
    <t>سياحي</t>
  </si>
  <si>
    <t>نعمه</t>
  </si>
  <si>
    <t>عواد</t>
  </si>
  <si>
    <t>عقباوي</t>
  </si>
  <si>
    <t>فرحانيان</t>
  </si>
  <si>
    <t>قنواتي زاده</t>
  </si>
  <si>
    <t>حيدر</t>
  </si>
  <si>
    <t>مقدم</t>
  </si>
  <si>
    <t>قاسم</t>
  </si>
  <si>
    <t>نادري</t>
  </si>
  <si>
    <t>جامدي باوي</t>
  </si>
  <si>
    <t>فريح</t>
  </si>
  <si>
    <t>چاملي</t>
  </si>
  <si>
    <t>خنفري راد</t>
  </si>
  <si>
    <t>فالح</t>
  </si>
  <si>
    <t>زرگاني</t>
  </si>
  <si>
    <t>ساري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</si>
  <si>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</si>
  <si>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</si>
  <si>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</si>
  <si>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</si>
  <si>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</si>
  <si>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رفاهیات و یارانه ورزشی </t>
  </si>
  <si>
    <t xml:space="preserve">عیدی و پاداش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</si>
  <si>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</si>
  <si>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</si>
  <si>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</si>
  <si>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</si>
  <si>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</si>
  <si>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</si>
  <si>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تیر </t>
  </si>
  <si>
    <t xml:space="preserve">گزارش اصلاحیه صورت وضعیت تیر ماه 96 پرسنل شرکت تولید توسعه انرژی اتمی (دارخوین)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</si>
</sst>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1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sz val="14"/>
      <color theme="1"/>
      <name val="B Zar"/>
      <charset val="178"/>
    </font>
    <font>
      <b/>
      <sz val="14"/>
      <color theme="1"/>
      <name val="B Zar"/>
      <charset val="178"/>
    </font>
    <font>
      <b/>
      <sz val="14"/>
      <color rgb="FFFF0000"/>
      <name val="B Zar"/>
      <charset val="178"/>
    </font>
    <font>
      <b/>
      <sz val="16"/>
      <color theme="1"/>
      <name val="B Zar"/>
      <charset val="178"/>
    </font>
    <font>
      <sz val="14"/>
      <color theme="1"/>
      <name val="Calibri"/>
      <family val="2"/>
      <charset val="178"/>
      <scheme val="minor"/>
    </font>
    <font>
      <b/>
      <sz val="14"/>
      <name val="B Zar"/>
      <charset val="178"/>
    </font>
    <font>
      <sz val="14"/>
      <name val="B Zar"/>
      <charset val="178"/>
    </font>
    <font>
      <sz val="14"/>
      <color rgb="FFFF0000"/>
      <name val="B Zar"/>
      <charset val="178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/>
    <xf numFmtId="164" fontId="4" fillId="0" borderId="0" xfId="3" applyNumberFormat="1" applyFont="1" applyAlignment="1">
      <alignment horizontal="center" vertical="center"/>
    </xf>
    <xf numFmtId="164" fontId="3" fillId="0" borderId="0" xfId="3" applyNumberFormat="1" applyFont="1"/>
    <xf numFmtId="164" fontId="2" fillId="0" borderId="0" xfId="3" applyNumberFormat="1" applyFont="1"/>
    <xf numFmtId="0" fontId="5" fillId="0" borderId="0" xfId="2" applyFont="1" applyAlignment="1">
      <alignment horizontal="center" vertical="center"/>
    </xf>
    <xf numFmtId="0" fontId="9" fillId="0" borderId="0" xfId="2" applyFont="1"/>
    <xf numFmtId="165" fontId="5" fillId="0" borderId="0" xfId="4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left" vertical="center"/>
    </xf>
    <xf numFmtId="3" fontId="7" fillId="0" borderId="1" xfId="2" applyNumberFormat="1" applyFont="1" applyBorder="1" applyAlignment="1">
      <alignment horizontal="center" vertical="center"/>
    </xf>
    <xf numFmtId="3" fontId="7" fillId="2" borderId="1" xfId="2" applyNumberFormat="1" applyFont="1" applyFill="1" applyBorder="1" applyAlignment="1">
      <alignment horizontal="center" vertical="center"/>
    </xf>
    <xf numFmtId="3" fontId="12" fillId="0" borderId="0" xfId="2" applyNumberFormat="1" applyFont="1" applyBorder="1" applyAlignment="1">
      <alignment horizontal="left" vertical="center"/>
    </xf>
    <xf numFmtId="3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3" fillId="0" borderId="0" xfId="2" applyFont="1"/>
    <xf numFmtId="3" fontId="13" fillId="0" borderId="0" xfId="2" applyNumberFormat="1" applyFont="1"/>
    <xf numFmtId="164" fontId="14" fillId="0" borderId="0" xfId="4" applyNumberFormat="1" applyFont="1"/>
    <xf numFmtId="0" fontId="15" fillId="0" borderId="0" xfId="2" applyFont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3" fontId="16" fillId="2" borderId="0" xfId="2" applyNumberFormat="1" applyFont="1" applyFill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164" fontId="9" fillId="0" borderId="0" xfId="4" applyNumberFormat="1" applyFont="1"/>
    <xf numFmtId="3" fontId="5" fillId="2" borderId="0" xfId="2" applyNumberFormat="1" applyFont="1" applyFill="1" applyBorder="1" applyAlignment="1">
      <alignment horizontal="center" vertical="center"/>
    </xf>
    <xf numFmtId="3" fontId="12" fillId="0" borderId="0" xfId="2" applyNumberFormat="1" applyFont="1" applyBorder="1" applyAlignment="1">
      <alignment vertical="center"/>
    </xf>
    <xf numFmtId="43" fontId="5" fillId="0" borderId="0" xfId="4" applyNumberFormat="1" applyFont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64" fontId="15" fillId="2" borderId="0" xfId="4" applyNumberFormat="1" applyFont="1" applyFill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6" fillId="2" borderId="4" xfId="2" applyNumberFormat="1" applyFont="1" applyFill="1" applyBorder="1" applyAlignment="1">
      <alignment horizontal="right" vertical="top" wrapText="1"/>
    </xf>
    <xf numFmtId="3" fontId="6" fillId="2" borderId="6" xfId="2" applyNumberFormat="1" applyFont="1" applyFill="1" applyBorder="1" applyAlignment="1">
      <alignment horizontal="right" vertical="top" wrapText="1"/>
    </xf>
    <xf numFmtId="0" fontId="6" fillId="2" borderId="4" xfId="2" applyFont="1" applyFill="1" applyBorder="1" applyAlignment="1">
      <alignment horizontal="right" vertical="top" wrapText="1"/>
    </xf>
    <xf numFmtId="0" fontId="6" fillId="2" borderId="5" xfId="2" applyFont="1" applyFill="1" applyBorder="1" applyAlignment="1">
      <alignment horizontal="right" vertical="top" wrapText="1"/>
    </xf>
    <xf numFmtId="0" fontId="6" fillId="2" borderId="6" xfId="2" applyFont="1" applyFill="1" applyBorder="1" applyAlignment="1">
      <alignment horizontal="right" vertical="top" wrapText="1"/>
    </xf>
  </cellXfs>
  <cellStyles count="5">
    <cellStyle name="Comma" xfId="1" builtinId="3"/>
    <cellStyle name="Comma 2" xfId="3"/>
    <cellStyle name="Comma 2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rightToLeft="1" tabSelected="1" view="pageBreakPreview" zoomScaleNormal="100" zoomScaleSheetLayoutView="100" workbookViewId="0">
      <selection activeCell="F7" sqref="F7"/>
    </sheetView>
  </sheetViews>
  <sheetFormatPr defaultRowHeight="24.75"/>
  <cols>
    <col min="1" max="1" width="5.5703125" style="9" customWidth="1"/>
    <col min="2" max="2" width="8" style="9" customWidth="1"/>
    <col min="3" max="3" width="15.5703125" style="9" customWidth="1"/>
    <col min="4" max="4" width="16.5703125" style="9" customWidth="1"/>
    <col min="5" max="5" width="18.5703125" style="9" customWidth="1"/>
    <col min="6" max="6" width="16.5703125" style="9" customWidth="1"/>
    <col min="7" max="7" width="19.5703125" style="9" hidden="1" customWidth="1"/>
    <col min="8" max="8" width="16.5703125" style="9" customWidth="1"/>
    <col min="9" max="9" width="29.85546875" style="9" customWidth="1"/>
    <col min="10" max="10" width="29" style="9" customWidth="1"/>
    <col min="11" max="11" width="5.5703125" style="9" customWidth="1"/>
    <col min="12" max="12" width="9.140625" style="9"/>
    <col min="13" max="13" width="21.42578125" style="8" bestFit="1" customWidth="1"/>
    <col min="14" max="14" width="20.42578125" style="10" bestFit="1" customWidth="1"/>
    <col min="15" max="15" width="9.140625" style="8"/>
    <col min="16" max="16384" width="9.140625" style="9"/>
  </cols>
  <sheetData>
    <row r="1" spans="1:16" ht="41.25" customHeight="1">
      <c r="A1" s="8"/>
      <c r="B1" s="45" t="s">
        <v>175</v>
      </c>
      <c r="C1" s="45"/>
      <c r="D1" s="45"/>
      <c r="E1" s="45"/>
      <c r="F1" s="45"/>
      <c r="G1" s="45"/>
      <c r="H1" s="45"/>
      <c r="I1" s="45"/>
      <c r="J1" s="45"/>
      <c r="K1" s="8"/>
    </row>
    <row r="2" spans="1:16">
      <c r="A2" s="8"/>
      <c r="B2" s="11"/>
      <c r="C2" s="11"/>
      <c r="D2" s="11"/>
      <c r="E2" s="11"/>
      <c r="F2" s="11"/>
      <c r="G2" s="11"/>
      <c r="H2" s="11"/>
      <c r="I2" s="11"/>
      <c r="J2" s="11"/>
      <c r="K2" s="8"/>
    </row>
    <row r="3" spans="1:16">
      <c r="A3" s="8"/>
      <c r="B3" s="12"/>
      <c r="C3" s="12"/>
      <c r="D3" s="12"/>
      <c r="E3" s="13"/>
      <c r="F3" s="13"/>
      <c r="G3" s="13"/>
      <c r="H3" s="13"/>
      <c r="I3" s="13"/>
      <c r="J3" s="13"/>
      <c r="K3" s="8"/>
    </row>
    <row r="4" spans="1:16" ht="60.75" customHeight="1">
      <c r="A4" s="12"/>
      <c r="B4" s="14" t="s">
        <v>161</v>
      </c>
      <c r="C4" s="14" t="s">
        <v>162</v>
      </c>
      <c r="D4" s="14" t="s">
        <v>163</v>
      </c>
      <c r="E4" s="15" t="s">
        <v>164</v>
      </c>
      <c r="F4" s="16" t="s">
        <v>165</v>
      </c>
      <c r="G4" s="16" t="s">
        <v>166</v>
      </c>
      <c r="H4" s="16" t="s">
        <v>118</v>
      </c>
      <c r="I4" s="16" t="s">
        <v>167</v>
      </c>
      <c r="J4" s="15" t="s">
        <v>168</v>
      </c>
      <c r="K4" s="8"/>
      <c r="M4" s="9"/>
      <c r="N4" s="9"/>
    </row>
    <row r="5" spans="1:16" ht="60.75" customHeight="1">
      <c r="A5" s="12"/>
      <c r="B5" s="17">
        <v>1</v>
      </c>
      <c r="C5" s="17" t="s">
        <v>174</v>
      </c>
      <c r="D5" s="17">
        <v>26</v>
      </c>
      <c r="E5" s="18">
        <f>'تير 96 دارخوين '!AE28</f>
        <v>528357348</v>
      </c>
      <c r="F5" s="19">
        <f>'تير 96 دارخوين '!X28+'تير 96 دارخوين '!W28</f>
        <v>111683516</v>
      </c>
      <c r="G5" s="19">
        <v>0</v>
      </c>
      <c r="H5" s="19">
        <f>'عیدی سنوات '!N28</f>
        <v>31325504.333333325</v>
      </c>
      <c r="I5" s="19">
        <f>'عیدی سنوات '!O28</f>
        <v>60445515</v>
      </c>
      <c r="J5" s="18">
        <f>SUM(E5:I5)</f>
        <v>731811883.33333337</v>
      </c>
      <c r="K5" s="8"/>
      <c r="M5" s="9"/>
      <c r="N5" s="9"/>
    </row>
    <row r="6" spans="1:16" ht="60.75" customHeight="1">
      <c r="A6" s="12"/>
      <c r="B6" s="20"/>
      <c r="C6" s="21"/>
      <c r="D6" s="22" t="s">
        <v>168</v>
      </c>
      <c r="E6" s="23">
        <f t="shared" ref="E6:J6" si="0">SUM(E5:E5)</f>
        <v>528357348</v>
      </c>
      <c r="F6" s="23">
        <f t="shared" si="0"/>
        <v>111683516</v>
      </c>
      <c r="G6" s="23">
        <f t="shared" si="0"/>
        <v>0</v>
      </c>
      <c r="H6" s="23">
        <f t="shared" si="0"/>
        <v>31325504.333333325</v>
      </c>
      <c r="I6" s="23">
        <f t="shared" si="0"/>
        <v>60445515</v>
      </c>
      <c r="J6" s="23">
        <f t="shared" si="0"/>
        <v>731811883.33333337</v>
      </c>
      <c r="K6" s="11"/>
    </row>
    <row r="7" spans="1:16" ht="60.75" customHeight="1">
      <c r="A7" s="8"/>
      <c r="B7" s="12"/>
      <c r="C7" s="24"/>
      <c r="D7" s="25"/>
      <c r="E7" s="25"/>
      <c r="F7" s="26"/>
      <c r="G7" s="25"/>
      <c r="H7" s="25"/>
      <c r="I7" s="27" t="s">
        <v>169</v>
      </c>
      <c r="J7" s="22">
        <f>J6</f>
        <v>731811883.33333337</v>
      </c>
      <c r="K7" s="11"/>
    </row>
    <row r="8" spans="1:16" ht="60.75" customHeight="1">
      <c r="A8" s="8"/>
      <c r="D8" s="28"/>
      <c r="E8" s="29"/>
      <c r="F8" s="30"/>
      <c r="G8" s="28"/>
      <c r="H8" s="29"/>
      <c r="I8" s="27" t="s">
        <v>170</v>
      </c>
      <c r="J8" s="22">
        <f>J7*9%</f>
        <v>65863069.5</v>
      </c>
      <c r="K8" s="11"/>
    </row>
    <row r="9" spans="1:16" ht="60.75" customHeight="1">
      <c r="A9" s="31"/>
      <c r="B9" s="32"/>
      <c r="C9" s="32"/>
      <c r="D9" s="33"/>
      <c r="E9" s="34"/>
      <c r="F9" s="25"/>
      <c r="G9" s="34"/>
      <c r="H9" s="34"/>
      <c r="I9" s="35" t="s">
        <v>168</v>
      </c>
      <c r="J9" s="23">
        <f>J7+J8</f>
        <v>797674952.83333337</v>
      </c>
      <c r="K9" s="36"/>
      <c r="P9" s="37"/>
    </row>
    <row r="10" spans="1:16">
      <c r="D10" s="38"/>
      <c r="E10" s="38"/>
      <c r="I10" s="39"/>
      <c r="J10" s="40"/>
      <c r="P10" s="37"/>
    </row>
    <row r="11" spans="1:16">
      <c r="B11" s="41"/>
      <c r="C11" s="41"/>
      <c r="D11" s="41"/>
      <c r="E11" s="41"/>
      <c r="F11" s="41"/>
      <c r="G11" s="41"/>
      <c r="H11" s="41"/>
      <c r="I11" s="41"/>
      <c r="J11" s="31"/>
      <c r="K11" s="31"/>
      <c r="P11" s="42"/>
    </row>
    <row r="12" spans="1:16">
      <c r="P12" s="37"/>
    </row>
    <row r="13" spans="1:16" ht="25.5" thickBot="1">
      <c r="P13" s="37"/>
    </row>
    <row r="14" spans="1:16" ht="129.94999999999999" customHeight="1" thickBot="1">
      <c r="A14" s="43"/>
      <c r="B14" s="48" t="s">
        <v>171</v>
      </c>
      <c r="C14" s="49"/>
      <c r="D14" s="50"/>
      <c r="E14" s="48" t="s">
        <v>172</v>
      </c>
      <c r="F14" s="49"/>
      <c r="G14" s="49"/>
      <c r="H14" s="50"/>
      <c r="I14" s="46" t="s">
        <v>173</v>
      </c>
      <c r="J14" s="47"/>
      <c r="K14" s="44"/>
    </row>
  </sheetData>
  <mergeCells count="4">
    <mergeCell ref="B1:J1"/>
    <mergeCell ref="I14:J14"/>
    <mergeCell ref="B14:D14"/>
    <mergeCell ref="E14:H14"/>
  </mergeCells>
  <printOptions horizontalCentered="1" verticalCentered="1"/>
  <pageMargins left="0.31496062992125984" right="0.31496062992125984" top="1.1417322834645669" bottom="0.74803149606299213" header="0.31496062992125984" footer="0.31496062992125984"/>
  <pageSetup scale="71" orientation="landscape" r:id="rId1"/>
  <colBreaks count="1" manualBreakCount="1">
    <brk id="1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rightToLeft="1" topLeftCell="A13" zoomScaleNormal="100" workbookViewId="0">
      <selection activeCell="D33" sqref="D33"/>
    </sheetView>
  </sheetViews>
  <sheetFormatPr defaultRowHeight="14.25"/>
  <cols>
    <col min="1" max="1" width="12.5703125" style="2" bestFit="1" customWidth="1"/>
    <col min="2" max="2" width="19.85546875" style="2" bestFit="1" customWidth="1"/>
    <col min="3" max="3" width="21.42578125" style="2" bestFit="1" customWidth="1"/>
    <col min="4" max="4" width="19.85546875" style="2" bestFit="1" customWidth="1"/>
    <col min="5" max="5" width="13.7109375" style="2" bestFit="1" customWidth="1"/>
    <col min="6" max="6" width="14.5703125" style="2" bestFit="1" customWidth="1"/>
    <col min="7" max="9" width="16" style="2" bestFit="1" customWidth="1"/>
    <col min="10" max="10" width="7.7109375" style="2" bestFit="1" customWidth="1"/>
    <col min="11" max="12" width="16" style="2" bestFit="1" customWidth="1"/>
    <col min="13" max="13" width="17.5703125" style="2" bestFit="1" customWidth="1"/>
    <col min="14" max="14" width="12.28515625" style="2" bestFit="1" customWidth="1"/>
    <col min="15" max="15" width="16" style="2" bestFit="1" customWidth="1"/>
    <col min="16" max="16" width="10.85546875" style="2" bestFit="1" customWidth="1"/>
    <col min="17" max="17" width="24.28515625" style="2" bestFit="1" customWidth="1"/>
    <col min="18" max="18" width="36.140625" style="2" bestFit="1" customWidth="1"/>
    <col min="19" max="19" width="16.7109375" style="2" bestFit="1" customWidth="1"/>
    <col min="20" max="20" width="22.7109375" style="2" bestFit="1" customWidth="1"/>
    <col min="21" max="21" width="20.7109375" style="2" customWidth="1"/>
    <col min="22" max="22" width="21" style="2" bestFit="1" customWidth="1"/>
    <col min="23" max="23" width="35.5703125" style="2" bestFit="1" customWidth="1"/>
    <col min="24" max="24" width="16" style="2" bestFit="1" customWidth="1"/>
    <col min="25" max="25" width="15" style="2" bestFit="1" customWidth="1"/>
    <col min="26" max="26" width="24.28515625" style="2" bestFit="1" customWidth="1"/>
    <col min="27" max="27" width="23.7109375" style="2" bestFit="1" customWidth="1"/>
    <col min="28" max="28" width="12.5703125" style="2" bestFit="1" customWidth="1"/>
    <col min="29" max="29" width="18.85546875" style="2" bestFit="1" customWidth="1"/>
    <col min="30" max="30" width="17.5703125" style="2" bestFit="1" customWidth="1"/>
    <col min="31" max="31" width="19.5703125" style="2" bestFit="1" customWidth="1"/>
    <col min="32" max="32" width="17.5703125" style="2" bestFit="1" customWidth="1"/>
    <col min="33" max="33" width="22.140625" style="2" bestFit="1" customWidth="1"/>
    <col min="34" max="34" width="30.5703125" style="2" bestFit="1" customWidth="1"/>
    <col min="35" max="35" width="33.42578125" style="2" bestFit="1" customWidth="1"/>
    <col min="36" max="36" width="38.5703125" style="2" bestFit="1" customWidth="1"/>
    <col min="37" max="37" width="36.7109375" style="2" bestFit="1" customWidth="1"/>
    <col min="38" max="38" width="34.42578125" style="2" bestFit="1" customWidth="1"/>
    <col min="39" max="39" width="39.42578125" style="2" bestFit="1" customWidth="1"/>
    <col min="40" max="40" width="29.28515625" style="2" bestFit="1" customWidth="1"/>
    <col min="41" max="41" width="38.5703125" style="2" bestFit="1" customWidth="1"/>
    <col min="42" max="42" width="48.5703125" style="2" bestFit="1" customWidth="1"/>
    <col min="43" max="43" width="46.140625" style="2" bestFit="1" customWidth="1"/>
    <col min="44" max="44" width="51.140625" style="2" bestFit="1" customWidth="1"/>
    <col min="45" max="45" width="41.140625" style="2" bestFit="1" customWidth="1"/>
    <col min="46" max="46" width="50.28515625" style="2" bestFit="1" customWidth="1"/>
    <col min="47" max="47" width="34.85546875" style="2" bestFit="1" customWidth="1"/>
    <col min="48" max="48" width="32.42578125" style="2" bestFit="1" customWidth="1"/>
    <col min="49" max="49" width="37.28515625" style="2" bestFit="1" customWidth="1"/>
    <col min="50" max="50" width="27.42578125" style="2" bestFit="1" customWidth="1"/>
    <col min="51" max="51" width="36.5703125" style="2" bestFit="1" customWidth="1"/>
    <col min="52" max="16384" width="9.140625" style="2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</row>
    <row r="2" spans="1:51">
      <c r="A2" s="2" t="str">
        <f>"9157041"</f>
        <v>9157041</v>
      </c>
      <c r="B2" s="2" t="str">
        <f>"عيد آسماني"</f>
        <v>عيد آسماني</v>
      </c>
      <c r="C2" s="2" t="str">
        <f t="shared" ref="C2:C27" si="0">"توليد توسعه - دارخوين"</f>
        <v>توليد توسعه - دارخوين</v>
      </c>
      <c r="D2" s="2">
        <v>0</v>
      </c>
      <c r="E2" s="2">
        <v>13640</v>
      </c>
      <c r="F2" s="2">
        <v>0</v>
      </c>
      <c r="G2" s="2">
        <v>0</v>
      </c>
      <c r="H2" s="2">
        <v>400000</v>
      </c>
      <c r="I2" s="2">
        <v>1100000</v>
      </c>
      <c r="J2" s="2">
        <v>0</v>
      </c>
      <c r="K2" s="2">
        <v>1012000</v>
      </c>
      <c r="L2" s="2">
        <v>960000</v>
      </c>
      <c r="M2" s="2">
        <v>12306070</v>
      </c>
      <c r="N2" s="2">
        <v>0</v>
      </c>
      <c r="O2" s="2">
        <v>1702496</v>
      </c>
      <c r="P2" s="2">
        <v>0</v>
      </c>
      <c r="Q2" s="2">
        <v>0</v>
      </c>
      <c r="R2" s="2">
        <v>1223641</v>
      </c>
      <c r="S2" s="2">
        <v>634380</v>
      </c>
      <c r="T2" s="2">
        <v>0</v>
      </c>
      <c r="U2" s="2">
        <v>0</v>
      </c>
      <c r="V2" s="2">
        <v>712005</v>
      </c>
      <c r="W2" s="2">
        <v>3496113</v>
      </c>
      <c r="X2" s="2">
        <v>524417</v>
      </c>
      <c r="Y2" s="2">
        <v>1</v>
      </c>
      <c r="Z2" s="2">
        <v>17480566</v>
      </c>
      <c r="AA2" s="2">
        <v>2570026</v>
      </c>
      <c r="AB2" s="2">
        <v>13640</v>
      </c>
      <c r="AC2" s="2">
        <v>14910540</v>
      </c>
      <c r="AD2" s="2">
        <v>14910540</v>
      </c>
      <c r="AE2" s="2">
        <v>17480566</v>
      </c>
      <c r="AF2" s="2">
        <v>2570026</v>
      </c>
      <c r="AG2" s="2" t="str">
        <f t="shared" ref="AG2:AG27" si="1">"موديان بزرگ"</f>
        <v>موديان بزرگ</v>
      </c>
      <c r="AH2" s="2" t="str">
        <f t="shared" ref="AH2:AH27" si="2">"گروه مالياتي 50 درصدي خدماتي"</f>
        <v>گروه مالياتي 50 درصدي خدماتي</v>
      </c>
      <c r="AI2" s="2" t="str">
        <f t="shared" ref="AI2:AI27" si="3">"شعبه شادگان"</f>
        <v>شعبه شادگان</v>
      </c>
      <c r="AJ2" s="2" t="str">
        <f>"50575808"</f>
        <v>50575808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634380</v>
      </c>
      <c r="AV2" s="2">
        <v>0</v>
      </c>
      <c r="AW2" s="2">
        <v>1268760</v>
      </c>
      <c r="AX2" s="2">
        <v>1268760</v>
      </c>
      <c r="AY2" s="2">
        <v>1268760</v>
      </c>
    </row>
    <row r="3" spans="1:51">
      <c r="A3" s="2" t="str">
        <f>"9157043"</f>
        <v>9157043</v>
      </c>
      <c r="B3" s="2" t="str">
        <f>"عبداله البوبالد"</f>
        <v>عبداله البوبالد</v>
      </c>
      <c r="C3" s="2" t="str">
        <f t="shared" si="0"/>
        <v>توليد توسعه - دارخوين</v>
      </c>
      <c r="D3" s="2">
        <v>0</v>
      </c>
      <c r="E3" s="2">
        <v>13640</v>
      </c>
      <c r="F3" s="2">
        <v>0</v>
      </c>
      <c r="G3" s="2">
        <v>0</v>
      </c>
      <c r="H3" s="2">
        <v>400000</v>
      </c>
      <c r="I3" s="2">
        <v>1100000</v>
      </c>
      <c r="J3" s="2">
        <v>0</v>
      </c>
      <c r="K3" s="2">
        <v>1012000</v>
      </c>
      <c r="L3" s="2">
        <v>960000</v>
      </c>
      <c r="M3" s="2">
        <v>14360750</v>
      </c>
      <c r="N3" s="2">
        <v>0</v>
      </c>
      <c r="O3" s="2">
        <v>1807797</v>
      </c>
      <c r="P3" s="2">
        <v>0</v>
      </c>
      <c r="Q3" s="2">
        <v>0</v>
      </c>
      <c r="R3" s="2">
        <v>1374838</v>
      </c>
      <c r="S3" s="2">
        <v>2693268</v>
      </c>
      <c r="T3" s="2">
        <v>900000</v>
      </c>
      <c r="U3" s="2">
        <v>0</v>
      </c>
      <c r="V3" s="2">
        <v>0</v>
      </c>
      <c r="W3" s="2">
        <v>3928109</v>
      </c>
      <c r="X3" s="2">
        <v>589216</v>
      </c>
      <c r="Y3" s="2">
        <v>0</v>
      </c>
      <c r="Z3" s="2">
        <v>19640547</v>
      </c>
      <c r="AA3" s="2">
        <v>4968106</v>
      </c>
      <c r="AB3" s="2">
        <v>13640</v>
      </c>
      <c r="AC3" s="2">
        <v>14672441</v>
      </c>
      <c r="AD3" s="2">
        <v>14672441</v>
      </c>
      <c r="AE3" s="2">
        <v>19640547</v>
      </c>
      <c r="AF3" s="2">
        <v>4968106</v>
      </c>
      <c r="AG3" s="2" t="str">
        <f t="shared" si="1"/>
        <v>موديان بزرگ</v>
      </c>
      <c r="AH3" s="2" t="str">
        <f t="shared" si="2"/>
        <v>گروه مالياتي 50 درصدي خدماتي</v>
      </c>
      <c r="AI3" s="2" t="str">
        <f t="shared" si="3"/>
        <v>شعبه شادگان</v>
      </c>
      <c r="AJ3" s="2" t="str">
        <f>"57951654"</f>
        <v>57951654</v>
      </c>
      <c r="AK3" s="2">
        <v>670000</v>
      </c>
      <c r="AL3" s="2">
        <v>6700000</v>
      </c>
      <c r="AM3" s="2">
        <v>1340000</v>
      </c>
      <c r="AN3" s="2">
        <v>8040000</v>
      </c>
      <c r="AO3" s="2">
        <v>8040000</v>
      </c>
      <c r="AP3" s="2">
        <v>1388888</v>
      </c>
      <c r="AQ3" s="2">
        <v>11111104</v>
      </c>
      <c r="AR3" s="2">
        <v>38888896</v>
      </c>
      <c r="AS3" s="2">
        <v>50000000</v>
      </c>
      <c r="AT3" s="2">
        <v>50000000</v>
      </c>
      <c r="AU3" s="2">
        <v>634380</v>
      </c>
      <c r="AV3" s="2">
        <v>0</v>
      </c>
      <c r="AW3" s="2">
        <v>1268760</v>
      </c>
      <c r="AX3" s="2">
        <v>1268760</v>
      </c>
      <c r="AY3" s="2">
        <v>1268760</v>
      </c>
    </row>
    <row r="4" spans="1:51">
      <c r="A4" s="2" t="str">
        <f>"9157044"</f>
        <v>9157044</v>
      </c>
      <c r="B4" s="2" t="str">
        <f>"سعيد ال بوبالدي"</f>
        <v>سعيد ال بوبالدي</v>
      </c>
      <c r="C4" s="2" t="str">
        <f t="shared" si="0"/>
        <v>توليد توسعه - دارخوين</v>
      </c>
      <c r="D4" s="2">
        <v>0</v>
      </c>
      <c r="E4" s="2">
        <v>13640</v>
      </c>
      <c r="F4" s="2">
        <v>0</v>
      </c>
      <c r="G4" s="2">
        <v>2789793</v>
      </c>
      <c r="H4" s="2">
        <v>400000</v>
      </c>
      <c r="I4" s="2">
        <v>1100000</v>
      </c>
      <c r="J4" s="2">
        <v>0</v>
      </c>
      <c r="K4" s="2">
        <v>1012000</v>
      </c>
      <c r="L4" s="2">
        <v>960000</v>
      </c>
      <c r="M4" s="2">
        <v>12948111</v>
      </c>
      <c r="N4" s="2">
        <v>0</v>
      </c>
      <c r="O4" s="2">
        <v>1750816</v>
      </c>
      <c r="P4" s="2">
        <v>0</v>
      </c>
      <c r="Q4" s="2">
        <v>0</v>
      </c>
      <c r="R4" s="2">
        <v>1271965</v>
      </c>
      <c r="S4" s="2">
        <v>634380</v>
      </c>
      <c r="T4" s="2">
        <v>0</v>
      </c>
      <c r="U4" s="2">
        <v>0</v>
      </c>
      <c r="V4" s="2">
        <v>0</v>
      </c>
      <c r="W4" s="2">
        <v>3634185</v>
      </c>
      <c r="X4" s="2">
        <v>545128</v>
      </c>
      <c r="Y4" s="2">
        <v>0</v>
      </c>
      <c r="Z4" s="2">
        <v>20960720</v>
      </c>
      <c r="AA4" s="2">
        <v>1906345</v>
      </c>
      <c r="AB4" s="2">
        <v>13640</v>
      </c>
      <c r="AC4" s="2">
        <v>19054375</v>
      </c>
      <c r="AD4" s="2">
        <v>19054375</v>
      </c>
      <c r="AE4" s="2">
        <v>20960720</v>
      </c>
      <c r="AF4" s="2">
        <v>1906345</v>
      </c>
      <c r="AG4" s="2" t="str">
        <f t="shared" si="1"/>
        <v>موديان بزرگ</v>
      </c>
      <c r="AH4" s="2" t="str">
        <f t="shared" si="2"/>
        <v>گروه مالياتي 50 درصدي خدماتي</v>
      </c>
      <c r="AI4" s="2" t="str">
        <f t="shared" si="3"/>
        <v>شعبه شادگان</v>
      </c>
      <c r="AJ4" s="2" t="str">
        <f>"56004180"</f>
        <v>56004180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634380</v>
      </c>
      <c r="AV4" s="2">
        <v>0</v>
      </c>
      <c r="AW4" s="2">
        <v>1268760</v>
      </c>
      <c r="AX4" s="2">
        <v>1268760</v>
      </c>
      <c r="AY4" s="2">
        <v>1268760</v>
      </c>
    </row>
    <row r="5" spans="1:51">
      <c r="A5" s="2" t="str">
        <f>"9157045"</f>
        <v>9157045</v>
      </c>
      <c r="B5" s="2" t="str">
        <f>"شريف آلبوبالدي"</f>
        <v>شريف آلبوبالدي</v>
      </c>
      <c r="C5" s="2" t="str">
        <f t="shared" si="0"/>
        <v>توليد توسعه - دارخوين</v>
      </c>
      <c r="D5" s="2">
        <v>0</v>
      </c>
      <c r="E5" s="2">
        <v>13640</v>
      </c>
      <c r="F5" s="2">
        <v>0</v>
      </c>
      <c r="G5" s="2">
        <v>929931</v>
      </c>
      <c r="H5" s="2">
        <v>400000</v>
      </c>
      <c r="I5" s="2">
        <v>1100000</v>
      </c>
      <c r="J5" s="2">
        <v>0</v>
      </c>
      <c r="K5" s="2">
        <v>1012000</v>
      </c>
      <c r="L5" s="2">
        <v>960000</v>
      </c>
      <c r="M5" s="2">
        <v>12948111</v>
      </c>
      <c r="N5" s="2">
        <v>0</v>
      </c>
      <c r="O5" s="2">
        <v>1750816</v>
      </c>
      <c r="P5" s="2">
        <v>0</v>
      </c>
      <c r="Q5" s="2">
        <v>0</v>
      </c>
      <c r="R5" s="2">
        <v>1271965</v>
      </c>
      <c r="S5" s="2">
        <v>2023268</v>
      </c>
      <c r="T5" s="2">
        <v>900000</v>
      </c>
      <c r="U5" s="2">
        <v>0</v>
      </c>
      <c r="V5" s="2">
        <v>0</v>
      </c>
      <c r="W5" s="2">
        <v>3634185</v>
      </c>
      <c r="X5" s="2">
        <v>545128</v>
      </c>
      <c r="Y5" s="2">
        <v>0</v>
      </c>
      <c r="Z5" s="2">
        <v>19100858</v>
      </c>
      <c r="AA5" s="2">
        <v>4195233</v>
      </c>
      <c r="AB5" s="2">
        <v>13640</v>
      </c>
      <c r="AC5" s="2">
        <v>14905625</v>
      </c>
      <c r="AD5" s="2">
        <v>14905625</v>
      </c>
      <c r="AE5" s="2">
        <v>19100858</v>
      </c>
      <c r="AF5" s="2">
        <v>4195233</v>
      </c>
      <c r="AG5" s="2" t="str">
        <f t="shared" si="1"/>
        <v>موديان بزرگ</v>
      </c>
      <c r="AH5" s="2" t="str">
        <f t="shared" si="2"/>
        <v>گروه مالياتي 50 درصدي خدماتي</v>
      </c>
      <c r="AI5" s="2" t="str">
        <f t="shared" si="3"/>
        <v>شعبه شادگان</v>
      </c>
      <c r="AJ5" s="2" t="str">
        <f>"52544320"</f>
        <v>52544320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1388888</v>
      </c>
      <c r="AQ5" s="2">
        <v>22222208</v>
      </c>
      <c r="AR5" s="2">
        <v>27777792</v>
      </c>
      <c r="AS5" s="2">
        <v>50000000</v>
      </c>
      <c r="AT5" s="2">
        <v>50000000</v>
      </c>
      <c r="AU5" s="2">
        <v>634380</v>
      </c>
      <c r="AV5" s="2">
        <v>0</v>
      </c>
      <c r="AW5" s="2">
        <v>1268760</v>
      </c>
      <c r="AX5" s="2">
        <v>1268760</v>
      </c>
      <c r="AY5" s="2">
        <v>1268760</v>
      </c>
    </row>
    <row r="6" spans="1:51">
      <c r="A6" s="2" t="str">
        <f>"9157046"</f>
        <v>9157046</v>
      </c>
      <c r="B6" s="2" t="str">
        <f>"يعقوب آلبوبالدي"</f>
        <v>يعقوب آلبوبالدي</v>
      </c>
      <c r="C6" s="2" t="str">
        <f t="shared" si="0"/>
        <v>توليد توسعه - دارخوين</v>
      </c>
      <c r="D6" s="2">
        <v>0</v>
      </c>
      <c r="E6" s="2">
        <v>13640</v>
      </c>
      <c r="F6" s="2">
        <v>0</v>
      </c>
      <c r="G6" s="2">
        <v>1859862</v>
      </c>
      <c r="H6" s="2">
        <v>400000</v>
      </c>
      <c r="I6" s="2">
        <v>1100000</v>
      </c>
      <c r="J6" s="2">
        <v>0</v>
      </c>
      <c r="K6" s="2">
        <v>1012000</v>
      </c>
      <c r="L6" s="2">
        <v>960000</v>
      </c>
      <c r="M6" s="2">
        <v>15901729</v>
      </c>
      <c r="N6" s="2">
        <v>0</v>
      </c>
      <c r="O6" s="2">
        <v>1870977</v>
      </c>
      <c r="P6" s="2">
        <v>0</v>
      </c>
      <c r="Q6" s="2">
        <v>0</v>
      </c>
      <c r="R6" s="2">
        <v>1487129</v>
      </c>
      <c r="S6" s="2">
        <v>2023268</v>
      </c>
      <c r="T6" s="2">
        <v>900000</v>
      </c>
      <c r="U6" s="2">
        <v>0</v>
      </c>
      <c r="V6" s="2">
        <v>0</v>
      </c>
      <c r="W6" s="2">
        <v>4248941</v>
      </c>
      <c r="X6" s="2">
        <v>637341</v>
      </c>
      <c r="Y6" s="2">
        <v>0</v>
      </c>
      <c r="Z6" s="2">
        <v>23104568</v>
      </c>
      <c r="AA6" s="2">
        <v>4410397</v>
      </c>
      <c r="AB6" s="2">
        <v>13640</v>
      </c>
      <c r="AC6" s="2">
        <v>18694171</v>
      </c>
      <c r="AD6" s="2">
        <v>18694171</v>
      </c>
      <c r="AE6" s="2">
        <v>23104568</v>
      </c>
      <c r="AF6" s="2">
        <v>4410397</v>
      </c>
      <c r="AG6" s="2" t="str">
        <f t="shared" si="1"/>
        <v>موديان بزرگ</v>
      </c>
      <c r="AH6" s="2" t="str">
        <f t="shared" si="2"/>
        <v>گروه مالياتي 50 درصدي خدماتي</v>
      </c>
      <c r="AI6" s="2" t="str">
        <f t="shared" si="3"/>
        <v>شعبه شادگان</v>
      </c>
      <c r="AJ6" s="2" t="str">
        <f>"52545284"</f>
        <v>52545284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1388888</v>
      </c>
      <c r="AQ6" s="2">
        <v>19444432</v>
      </c>
      <c r="AR6" s="2">
        <v>30555568</v>
      </c>
      <c r="AS6" s="2">
        <v>50000000</v>
      </c>
      <c r="AT6" s="2">
        <v>50000000</v>
      </c>
      <c r="AU6" s="2">
        <v>634380</v>
      </c>
      <c r="AV6" s="2">
        <v>0</v>
      </c>
      <c r="AW6" s="2">
        <v>1268760</v>
      </c>
      <c r="AX6" s="2">
        <v>1268760</v>
      </c>
      <c r="AY6" s="2">
        <v>1268760</v>
      </c>
    </row>
    <row r="7" spans="1:51">
      <c r="A7" s="2" t="str">
        <f>"9157047"</f>
        <v>9157047</v>
      </c>
      <c r="B7" s="2" t="str">
        <f>"محمد البوغبيش"</f>
        <v>محمد البوغبيش</v>
      </c>
      <c r="C7" s="2" t="str">
        <f t="shared" si="0"/>
        <v>توليد توسعه - دارخوين</v>
      </c>
      <c r="D7" s="2">
        <v>360</v>
      </c>
      <c r="E7" s="2">
        <v>13640</v>
      </c>
      <c r="F7" s="2">
        <v>796497</v>
      </c>
      <c r="G7" s="2">
        <v>929931</v>
      </c>
      <c r="H7" s="2">
        <v>400000</v>
      </c>
      <c r="I7" s="2">
        <v>1100000</v>
      </c>
      <c r="J7" s="2">
        <v>0</v>
      </c>
      <c r="K7" s="2">
        <v>1012000</v>
      </c>
      <c r="L7" s="2">
        <v>960000</v>
      </c>
      <c r="M7" s="2">
        <v>16929131</v>
      </c>
      <c r="N7" s="2">
        <v>0</v>
      </c>
      <c r="O7" s="2">
        <v>1883377</v>
      </c>
      <c r="P7" s="2">
        <v>0</v>
      </c>
      <c r="Q7" s="2">
        <v>0</v>
      </c>
      <c r="R7" s="2">
        <v>1615670</v>
      </c>
      <c r="S7" s="2">
        <v>634380</v>
      </c>
      <c r="T7" s="2">
        <v>0</v>
      </c>
      <c r="U7" s="2">
        <v>0</v>
      </c>
      <c r="V7" s="2">
        <v>0</v>
      </c>
      <c r="W7" s="2">
        <v>4616201</v>
      </c>
      <c r="X7" s="2">
        <v>692430</v>
      </c>
      <c r="Y7" s="2">
        <v>0</v>
      </c>
      <c r="Z7" s="2">
        <v>24010936</v>
      </c>
      <c r="AA7" s="2">
        <v>2250050</v>
      </c>
      <c r="AB7" s="2">
        <v>13640</v>
      </c>
      <c r="AC7" s="2">
        <v>21760886</v>
      </c>
      <c r="AD7" s="2">
        <v>21760886</v>
      </c>
      <c r="AE7" s="2">
        <v>24010936</v>
      </c>
      <c r="AF7" s="2">
        <v>2250050</v>
      </c>
      <c r="AG7" s="2" t="str">
        <f t="shared" si="1"/>
        <v>موديان بزرگ</v>
      </c>
      <c r="AH7" s="2" t="str">
        <f t="shared" si="2"/>
        <v>گروه مالياتي 50 درصدي خدماتي</v>
      </c>
      <c r="AI7" s="2" t="str">
        <f t="shared" si="3"/>
        <v>شعبه شادگان</v>
      </c>
      <c r="AJ7" s="2" t="str">
        <f>"57958412"</f>
        <v>57958412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634380</v>
      </c>
      <c r="AV7" s="2">
        <v>0</v>
      </c>
      <c r="AW7" s="2">
        <v>1268760</v>
      </c>
      <c r="AX7" s="2">
        <v>1268760</v>
      </c>
      <c r="AY7" s="2">
        <v>1268760</v>
      </c>
    </row>
    <row r="8" spans="1:51">
      <c r="A8" s="2" t="str">
        <f>"9157049"</f>
        <v>9157049</v>
      </c>
      <c r="B8" s="2" t="str">
        <f>"عبدالامام بالدي"</f>
        <v>عبدالامام بالدي</v>
      </c>
      <c r="C8" s="2" t="str">
        <f t="shared" si="0"/>
        <v>توليد توسعه - دارخوين</v>
      </c>
      <c r="D8" s="2">
        <v>360</v>
      </c>
      <c r="E8" s="2">
        <v>13640</v>
      </c>
      <c r="F8" s="2">
        <v>842789</v>
      </c>
      <c r="G8" s="2">
        <v>0</v>
      </c>
      <c r="H8" s="2">
        <v>400000</v>
      </c>
      <c r="I8" s="2">
        <v>1100000</v>
      </c>
      <c r="J8" s="2">
        <v>0</v>
      </c>
      <c r="K8" s="2">
        <v>1012000</v>
      </c>
      <c r="L8" s="2">
        <v>960000</v>
      </c>
      <c r="M8" s="2">
        <v>17956440</v>
      </c>
      <c r="N8" s="2">
        <v>0</v>
      </c>
      <c r="O8" s="2">
        <v>1851197</v>
      </c>
      <c r="P8" s="2">
        <v>0</v>
      </c>
      <c r="Q8" s="2">
        <v>98240</v>
      </c>
      <c r="R8" s="2">
        <v>1695447</v>
      </c>
      <c r="S8" s="2">
        <v>1974380</v>
      </c>
      <c r="T8" s="2">
        <v>0</v>
      </c>
      <c r="U8" s="2">
        <v>0</v>
      </c>
      <c r="V8" s="2">
        <v>0</v>
      </c>
      <c r="W8" s="2">
        <v>4844133</v>
      </c>
      <c r="X8" s="2">
        <v>726620</v>
      </c>
      <c r="Y8" s="2">
        <v>1</v>
      </c>
      <c r="Z8" s="2">
        <v>24220666</v>
      </c>
      <c r="AA8" s="2">
        <v>3669827</v>
      </c>
      <c r="AB8" s="2">
        <v>13640</v>
      </c>
      <c r="AC8" s="2">
        <v>20550839</v>
      </c>
      <c r="AD8" s="2">
        <v>20550839</v>
      </c>
      <c r="AE8" s="2">
        <v>24220666</v>
      </c>
      <c r="AF8" s="2">
        <v>3669827</v>
      </c>
      <c r="AG8" s="2" t="str">
        <f t="shared" si="1"/>
        <v>موديان بزرگ</v>
      </c>
      <c r="AH8" s="2" t="str">
        <f t="shared" si="2"/>
        <v>گروه مالياتي 50 درصدي خدماتي</v>
      </c>
      <c r="AI8" s="2" t="str">
        <f t="shared" si="3"/>
        <v>شعبه شادگان</v>
      </c>
      <c r="AJ8" s="2" t="str">
        <f>"50135194"</f>
        <v>50135194</v>
      </c>
      <c r="AK8" s="2">
        <v>1340000</v>
      </c>
      <c r="AL8" s="2">
        <v>13400000</v>
      </c>
      <c r="AM8" s="2">
        <v>2680000</v>
      </c>
      <c r="AN8" s="2">
        <v>16080000</v>
      </c>
      <c r="AO8" s="2">
        <v>16080000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634380</v>
      </c>
      <c r="AV8" s="2">
        <v>0</v>
      </c>
      <c r="AW8" s="2">
        <v>1268760</v>
      </c>
      <c r="AX8" s="2">
        <v>1268760</v>
      </c>
      <c r="AY8" s="2">
        <v>1268760</v>
      </c>
    </row>
    <row r="9" spans="1:51">
      <c r="A9" s="2" t="str">
        <f>"9157050"</f>
        <v>9157050</v>
      </c>
      <c r="B9" s="2" t="str">
        <f>"حسين باوي"</f>
        <v>حسين باوي</v>
      </c>
      <c r="C9" s="2" t="str">
        <f t="shared" si="0"/>
        <v>توليد توسعه - دارخوين</v>
      </c>
      <c r="D9" s="2">
        <v>0</v>
      </c>
      <c r="E9" s="2">
        <v>13640</v>
      </c>
      <c r="F9" s="2">
        <v>0</v>
      </c>
      <c r="G9" s="2">
        <v>3719724</v>
      </c>
      <c r="H9" s="2">
        <v>400000</v>
      </c>
      <c r="I9" s="2">
        <v>1100000</v>
      </c>
      <c r="J9" s="2">
        <v>0</v>
      </c>
      <c r="K9" s="2">
        <v>1012000</v>
      </c>
      <c r="L9" s="2">
        <v>960000</v>
      </c>
      <c r="M9" s="2">
        <v>13590276</v>
      </c>
      <c r="N9" s="2">
        <v>0</v>
      </c>
      <c r="O9" s="2">
        <v>1786737</v>
      </c>
      <c r="P9" s="2">
        <v>0</v>
      </c>
      <c r="Q9" s="2">
        <v>0</v>
      </c>
      <c r="R9" s="2">
        <v>1319431</v>
      </c>
      <c r="S9" s="2">
        <v>2023268</v>
      </c>
      <c r="T9" s="2">
        <v>900000</v>
      </c>
      <c r="U9" s="2">
        <v>0</v>
      </c>
      <c r="V9" s="2">
        <v>0</v>
      </c>
      <c r="W9" s="2">
        <v>3769803</v>
      </c>
      <c r="X9" s="2">
        <v>565470</v>
      </c>
      <c r="Y9" s="2">
        <v>0</v>
      </c>
      <c r="Z9" s="2">
        <v>22568737</v>
      </c>
      <c r="AA9" s="2">
        <v>4242699</v>
      </c>
      <c r="AB9" s="2">
        <v>13640</v>
      </c>
      <c r="AC9" s="2">
        <v>18326038</v>
      </c>
      <c r="AD9" s="2">
        <v>18326038</v>
      </c>
      <c r="AE9" s="2">
        <v>22568737</v>
      </c>
      <c r="AF9" s="2">
        <v>4242699</v>
      </c>
      <c r="AG9" s="2" t="str">
        <f t="shared" si="1"/>
        <v>موديان بزرگ</v>
      </c>
      <c r="AH9" s="2" t="str">
        <f t="shared" si="2"/>
        <v>گروه مالياتي 50 درصدي خدماتي</v>
      </c>
      <c r="AI9" s="2" t="str">
        <f t="shared" si="3"/>
        <v>شعبه شادگان</v>
      </c>
      <c r="AJ9" s="2" t="str">
        <f>"57952049"</f>
        <v>57952049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1388888</v>
      </c>
      <c r="AQ9" s="2">
        <v>34722200</v>
      </c>
      <c r="AR9" s="2">
        <v>15277800</v>
      </c>
      <c r="AS9" s="2">
        <v>50000000</v>
      </c>
      <c r="AT9" s="2">
        <v>50000000</v>
      </c>
      <c r="AU9" s="2">
        <v>634380</v>
      </c>
      <c r="AV9" s="2">
        <v>0</v>
      </c>
      <c r="AW9" s="2">
        <v>1268760</v>
      </c>
      <c r="AX9" s="2">
        <v>1268760</v>
      </c>
      <c r="AY9" s="2">
        <v>1268760</v>
      </c>
    </row>
    <row r="10" spans="1:51">
      <c r="A10" s="2" t="str">
        <f>"9157053"</f>
        <v>9157053</v>
      </c>
      <c r="B10" s="2" t="str">
        <f>"عظيم باوي سويره"</f>
        <v>عظيم باوي سويره</v>
      </c>
      <c r="C10" s="2" t="str">
        <f t="shared" si="0"/>
        <v>توليد توسعه - دارخوين</v>
      </c>
      <c r="D10" s="2">
        <v>0</v>
      </c>
      <c r="E10" s="2">
        <v>13640</v>
      </c>
      <c r="F10" s="2">
        <v>0</v>
      </c>
      <c r="G10" s="2">
        <v>929931</v>
      </c>
      <c r="H10" s="2">
        <v>400000</v>
      </c>
      <c r="I10" s="2">
        <v>1100000</v>
      </c>
      <c r="J10" s="2">
        <v>0</v>
      </c>
      <c r="K10" s="2">
        <v>1012000</v>
      </c>
      <c r="L10" s="2">
        <v>960000</v>
      </c>
      <c r="M10" s="2">
        <v>11278668</v>
      </c>
      <c r="N10" s="2">
        <v>0</v>
      </c>
      <c r="O10" s="2">
        <v>1681436</v>
      </c>
      <c r="P10" s="2">
        <v>0</v>
      </c>
      <c r="Q10" s="2">
        <v>0</v>
      </c>
      <c r="R10" s="2">
        <v>1150247</v>
      </c>
      <c r="S10" s="2">
        <v>2023268</v>
      </c>
      <c r="T10" s="2">
        <v>900000</v>
      </c>
      <c r="U10" s="2">
        <v>0</v>
      </c>
      <c r="V10" s="2">
        <v>868011</v>
      </c>
      <c r="W10" s="2">
        <v>3286421</v>
      </c>
      <c r="X10" s="2">
        <v>492963</v>
      </c>
      <c r="Y10" s="2">
        <v>0</v>
      </c>
      <c r="Z10" s="2">
        <v>17362035</v>
      </c>
      <c r="AA10" s="2">
        <v>4941526</v>
      </c>
      <c r="AB10" s="2">
        <v>13640</v>
      </c>
      <c r="AC10" s="2">
        <v>12420509</v>
      </c>
      <c r="AD10" s="2">
        <v>12420509</v>
      </c>
      <c r="AE10" s="2">
        <v>17362035</v>
      </c>
      <c r="AF10" s="2">
        <v>4941526</v>
      </c>
      <c r="AG10" s="2" t="str">
        <f t="shared" si="1"/>
        <v>موديان بزرگ</v>
      </c>
      <c r="AH10" s="2" t="str">
        <f t="shared" si="2"/>
        <v>گروه مالياتي 50 درصدي خدماتي</v>
      </c>
      <c r="AI10" s="2" t="str">
        <f t="shared" si="3"/>
        <v>شعبه شادگان</v>
      </c>
      <c r="AJ10" s="2" t="str">
        <f>"57962120"</f>
        <v>57962120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1388888</v>
      </c>
      <c r="AQ10" s="2">
        <v>9166680</v>
      </c>
      <c r="AR10" s="2">
        <v>20833320</v>
      </c>
      <c r="AS10" s="2">
        <v>30000000</v>
      </c>
      <c r="AT10" s="2">
        <v>30000000</v>
      </c>
      <c r="AU10" s="2">
        <v>634380</v>
      </c>
      <c r="AV10" s="2">
        <v>0</v>
      </c>
      <c r="AW10" s="2">
        <v>1268760</v>
      </c>
      <c r="AX10" s="2">
        <v>1268760</v>
      </c>
      <c r="AY10" s="2">
        <v>1268760</v>
      </c>
    </row>
    <row r="11" spans="1:51">
      <c r="A11" s="2" t="str">
        <f>"9157054"</f>
        <v>9157054</v>
      </c>
      <c r="B11" s="2" t="str">
        <f>"عارف باوي فرد"</f>
        <v>عارف باوي فرد</v>
      </c>
      <c r="C11" s="2" t="str">
        <f t="shared" si="0"/>
        <v>توليد توسعه - دارخوين</v>
      </c>
      <c r="D11" s="2">
        <v>0</v>
      </c>
      <c r="E11" s="2">
        <v>13640</v>
      </c>
      <c r="F11" s="2">
        <v>0</v>
      </c>
      <c r="G11" s="2">
        <v>0</v>
      </c>
      <c r="H11" s="2">
        <v>400000</v>
      </c>
      <c r="I11" s="2">
        <v>1100000</v>
      </c>
      <c r="J11" s="2">
        <v>0</v>
      </c>
      <c r="K11" s="2">
        <v>1012000</v>
      </c>
      <c r="L11" s="2">
        <v>960000</v>
      </c>
      <c r="M11" s="2">
        <v>12306039</v>
      </c>
      <c r="N11" s="2">
        <v>0</v>
      </c>
      <c r="O11" s="2">
        <v>1723557</v>
      </c>
      <c r="P11" s="2">
        <v>0</v>
      </c>
      <c r="Q11" s="2">
        <v>0</v>
      </c>
      <c r="R11" s="2">
        <v>1225112</v>
      </c>
      <c r="S11" s="2">
        <v>634380</v>
      </c>
      <c r="T11" s="2">
        <v>0</v>
      </c>
      <c r="U11" s="2">
        <v>0</v>
      </c>
      <c r="V11" s="2">
        <v>1546039</v>
      </c>
      <c r="W11" s="2">
        <v>3500319</v>
      </c>
      <c r="X11" s="2">
        <v>525048</v>
      </c>
      <c r="Y11" s="2">
        <v>1</v>
      </c>
      <c r="Z11" s="2">
        <v>17501596</v>
      </c>
      <c r="AA11" s="2">
        <v>3405531</v>
      </c>
      <c r="AB11" s="2">
        <v>13640</v>
      </c>
      <c r="AC11" s="2">
        <v>14096065</v>
      </c>
      <c r="AD11" s="2">
        <v>14096065</v>
      </c>
      <c r="AE11" s="2">
        <v>17501596</v>
      </c>
      <c r="AF11" s="2">
        <v>3405531</v>
      </c>
      <c r="AG11" s="2" t="str">
        <f t="shared" si="1"/>
        <v>موديان بزرگ</v>
      </c>
      <c r="AH11" s="2" t="str">
        <f t="shared" si="2"/>
        <v>گروه مالياتي 50 درصدي خدماتي</v>
      </c>
      <c r="AI11" s="2" t="str">
        <f t="shared" si="3"/>
        <v>شعبه شادگان</v>
      </c>
      <c r="AJ11" s="2" t="str">
        <f>"52703310"</f>
        <v>52703310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634380</v>
      </c>
      <c r="AV11" s="2">
        <v>0</v>
      </c>
      <c r="AW11" s="2">
        <v>1268760</v>
      </c>
      <c r="AX11" s="2">
        <v>1268760</v>
      </c>
      <c r="AY11" s="2">
        <v>1268760</v>
      </c>
    </row>
    <row r="12" spans="1:51">
      <c r="A12" s="2" t="str">
        <f>"9157055"</f>
        <v>9157055</v>
      </c>
      <c r="B12" s="2" t="str">
        <f>"نجم باوي فرد"</f>
        <v>نجم باوي فرد</v>
      </c>
      <c r="C12" s="2" t="str">
        <f t="shared" si="0"/>
        <v>توليد توسعه - دارخوين</v>
      </c>
      <c r="D12" s="2">
        <v>0</v>
      </c>
      <c r="E12" s="2">
        <v>13640</v>
      </c>
      <c r="F12" s="2">
        <v>0</v>
      </c>
      <c r="G12" s="2">
        <v>1859862</v>
      </c>
      <c r="H12" s="2">
        <v>400000</v>
      </c>
      <c r="I12" s="2">
        <v>1100000</v>
      </c>
      <c r="J12" s="2">
        <v>0</v>
      </c>
      <c r="K12" s="2">
        <v>1012000</v>
      </c>
      <c r="L12" s="2">
        <v>960000</v>
      </c>
      <c r="M12" s="2">
        <v>12306039</v>
      </c>
      <c r="N12" s="2">
        <v>0</v>
      </c>
      <c r="O12" s="2">
        <v>1744616</v>
      </c>
      <c r="P12" s="2">
        <v>0</v>
      </c>
      <c r="Q12" s="2">
        <v>0</v>
      </c>
      <c r="R12" s="2">
        <v>1226586</v>
      </c>
      <c r="S12" s="2">
        <v>2023268</v>
      </c>
      <c r="T12" s="2">
        <v>900000</v>
      </c>
      <c r="U12" s="2">
        <v>0</v>
      </c>
      <c r="V12" s="2">
        <v>0</v>
      </c>
      <c r="W12" s="2">
        <v>3504531</v>
      </c>
      <c r="X12" s="2">
        <v>525680</v>
      </c>
      <c r="Y12" s="2">
        <v>0</v>
      </c>
      <c r="Z12" s="2">
        <v>19382517</v>
      </c>
      <c r="AA12" s="2">
        <v>4149854</v>
      </c>
      <c r="AB12" s="2">
        <v>13640</v>
      </c>
      <c r="AC12" s="2">
        <v>15232663</v>
      </c>
      <c r="AD12" s="2">
        <v>15232663</v>
      </c>
      <c r="AE12" s="2">
        <v>19382517</v>
      </c>
      <c r="AF12" s="2">
        <v>4149854</v>
      </c>
      <c r="AG12" s="2" t="str">
        <f t="shared" si="1"/>
        <v>موديان بزرگ</v>
      </c>
      <c r="AH12" s="2" t="str">
        <f t="shared" si="2"/>
        <v>گروه مالياتي 50 درصدي خدماتي</v>
      </c>
      <c r="AI12" s="2" t="str">
        <f t="shared" si="3"/>
        <v>شعبه شادگان</v>
      </c>
      <c r="AJ12" s="2" t="str">
        <f>"52554911"</f>
        <v>52554911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1388888</v>
      </c>
      <c r="AQ12" s="2">
        <v>6944440</v>
      </c>
      <c r="AR12" s="2">
        <v>43055560</v>
      </c>
      <c r="AS12" s="2">
        <v>50000000</v>
      </c>
      <c r="AT12" s="2">
        <v>50000000</v>
      </c>
      <c r="AU12" s="2">
        <v>634380</v>
      </c>
      <c r="AV12" s="2">
        <v>0</v>
      </c>
      <c r="AW12" s="2">
        <v>1268760</v>
      </c>
      <c r="AX12" s="2">
        <v>1268760</v>
      </c>
      <c r="AY12" s="2">
        <v>1268760</v>
      </c>
    </row>
    <row r="13" spans="1:51">
      <c r="A13" s="2" t="str">
        <f>"9157057"</f>
        <v>9157057</v>
      </c>
      <c r="B13" s="2" t="str">
        <f>"عباس بدوي"</f>
        <v>عباس بدوي</v>
      </c>
      <c r="C13" s="2" t="str">
        <f t="shared" si="0"/>
        <v>توليد توسعه - دارخوين</v>
      </c>
      <c r="D13" s="2">
        <v>0</v>
      </c>
      <c r="E13" s="2">
        <v>13640</v>
      </c>
      <c r="F13" s="2">
        <v>0</v>
      </c>
      <c r="G13" s="2">
        <v>3719724</v>
      </c>
      <c r="H13" s="2">
        <v>400000</v>
      </c>
      <c r="I13" s="2">
        <v>1100000</v>
      </c>
      <c r="J13" s="2">
        <v>0</v>
      </c>
      <c r="K13" s="2">
        <v>1012000</v>
      </c>
      <c r="L13" s="2">
        <v>960000</v>
      </c>
      <c r="M13" s="2">
        <v>14360750</v>
      </c>
      <c r="N13" s="2">
        <v>0</v>
      </c>
      <c r="O13" s="2">
        <v>1792937</v>
      </c>
      <c r="P13" s="2">
        <v>0</v>
      </c>
      <c r="Q13" s="2">
        <v>0</v>
      </c>
      <c r="R13" s="2">
        <v>1373798</v>
      </c>
      <c r="S13" s="2">
        <v>2023268</v>
      </c>
      <c r="T13" s="2">
        <v>900000</v>
      </c>
      <c r="U13" s="2">
        <v>0</v>
      </c>
      <c r="V13" s="2">
        <v>3253449</v>
      </c>
      <c r="W13" s="2">
        <v>3925137</v>
      </c>
      <c r="X13" s="2">
        <v>588771</v>
      </c>
      <c r="Y13" s="2">
        <v>0</v>
      </c>
      <c r="Z13" s="2">
        <v>23345411</v>
      </c>
      <c r="AA13" s="2">
        <v>7550515</v>
      </c>
      <c r="AB13" s="2">
        <v>13640</v>
      </c>
      <c r="AC13" s="2">
        <v>15794896</v>
      </c>
      <c r="AD13" s="2">
        <v>15794896</v>
      </c>
      <c r="AE13" s="2">
        <v>23345411</v>
      </c>
      <c r="AF13" s="2">
        <v>7550515</v>
      </c>
      <c r="AG13" s="2" t="str">
        <f t="shared" si="1"/>
        <v>موديان بزرگ</v>
      </c>
      <c r="AH13" s="2" t="str">
        <f t="shared" si="2"/>
        <v>گروه مالياتي 50 درصدي خدماتي</v>
      </c>
      <c r="AI13" s="2" t="str">
        <f t="shared" si="3"/>
        <v>شعبه شادگان</v>
      </c>
      <c r="AJ13" s="2" t="str">
        <f>"50546913"</f>
        <v>50546913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1388888</v>
      </c>
      <c r="AQ13" s="2">
        <v>9166680</v>
      </c>
      <c r="AR13" s="2">
        <v>1388888</v>
      </c>
      <c r="AS13" s="2">
        <v>10555568</v>
      </c>
      <c r="AT13" s="2">
        <v>10555568</v>
      </c>
      <c r="AU13" s="2">
        <v>634380</v>
      </c>
      <c r="AV13" s="2">
        <v>0</v>
      </c>
      <c r="AW13" s="2">
        <v>1268760</v>
      </c>
      <c r="AX13" s="2">
        <v>1268760</v>
      </c>
      <c r="AY13" s="2">
        <v>1268760</v>
      </c>
    </row>
    <row r="14" spans="1:51">
      <c r="A14" s="2" t="str">
        <f>"9157058"</f>
        <v>9157058</v>
      </c>
      <c r="B14" s="2" t="str">
        <f>"طاهر پورحزبه"</f>
        <v>طاهر پورحزبه</v>
      </c>
      <c r="C14" s="2" t="str">
        <f t="shared" si="0"/>
        <v>توليد توسعه - دارخوين</v>
      </c>
      <c r="D14" s="2">
        <v>0</v>
      </c>
      <c r="E14" s="2">
        <v>13640</v>
      </c>
      <c r="F14" s="2">
        <v>0</v>
      </c>
      <c r="G14" s="2">
        <v>0</v>
      </c>
      <c r="H14" s="2">
        <v>400000</v>
      </c>
      <c r="I14" s="2">
        <v>1100000</v>
      </c>
      <c r="J14" s="2">
        <v>0</v>
      </c>
      <c r="K14" s="2">
        <v>1012000</v>
      </c>
      <c r="L14" s="2">
        <v>960000</v>
      </c>
      <c r="M14" s="2">
        <v>13590276</v>
      </c>
      <c r="N14" s="2">
        <v>0</v>
      </c>
      <c r="O14" s="2">
        <v>1786737</v>
      </c>
      <c r="P14" s="2">
        <v>0</v>
      </c>
      <c r="Q14" s="2">
        <v>0</v>
      </c>
      <c r="R14" s="2">
        <v>1319431</v>
      </c>
      <c r="S14" s="2">
        <v>1974380</v>
      </c>
      <c r="T14" s="2">
        <v>0</v>
      </c>
      <c r="U14" s="2">
        <v>0</v>
      </c>
      <c r="V14" s="2">
        <v>529722</v>
      </c>
      <c r="W14" s="2">
        <v>3769803</v>
      </c>
      <c r="X14" s="2">
        <v>565470</v>
      </c>
      <c r="Y14" s="2">
        <v>0</v>
      </c>
      <c r="Z14" s="2">
        <v>18849013</v>
      </c>
      <c r="AA14" s="2">
        <v>3823533</v>
      </c>
      <c r="AB14" s="2">
        <v>13640</v>
      </c>
      <c r="AC14" s="2">
        <v>15025480</v>
      </c>
      <c r="AD14" s="2">
        <v>15025480</v>
      </c>
      <c r="AE14" s="2">
        <v>18849013</v>
      </c>
      <c r="AF14" s="2">
        <v>3823533</v>
      </c>
      <c r="AG14" s="2" t="str">
        <f t="shared" si="1"/>
        <v>موديان بزرگ</v>
      </c>
      <c r="AH14" s="2" t="str">
        <f t="shared" si="2"/>
        <v>گروه مالياتي 50 درصدي خدماتي</v>
      </c>
      <c r="AI14" s="2" t="str">
        <f t="shared" si="3"/>
        <v>شعبه شادگان</v>
      </c>
      <c r="AJ14" s="2" t="str">
        <f>"52537454"</f>
        <v>52537454</v>
      </c>
      <c r="AK14" s="2">
        <v>1340000</v>
      </c>
      <c r="AL14" s="2">
        <v>13400000</v>
      </c>
      <c r="AM14" s="2">
        <v>2680000</v>
      </c>
      <c r="AN14" s="2">
        <v>16080000</v>
      </c>
      <c r="AO14" s="2">
        <v>16080000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634380</v>
      </c>
      <c r="AV14" s="2">
        <v>0</v>
      </c>
      <c r="AW14" s="2">
        <v>1268760</v>
      </c>
      <c r="AX14" s="2">
        <v>1268760</v>
      </c>
      <c r="AY14" s="2">
        <v>1268760</v>
      </c>
    </row>
    <row r="15" spans="1:51">
      <c r="A15" s="2" t="str">
        <f>"9157059"</f>
        <v>9157059</v>
      </c>
      <c r="B15" s="2" t="str">
        <f>"رحيم سياحي"</f>
        <v>رحيم سياحي</v>
      </c>
      <c r="C15" s="2" t="str">
        <f t="shared" si="0"/>
        <v>توليد توسعه - دارخوين</v>
      </c>
      <c r="D15" s="2">
        <v>120</v>
      </c>
      <c r="E15" s="2">
        <v>13640</v>
      </c>
      <c r="F15" s="2">
        <v>182905</v>
      </c>
      <c r="G15" s="2">
        <v>1859862</v>
      </c>
      <c r="H15" s="2">
        <v>400000</v>
      </c>
      <c r="I15" s="2">
        <v>1100000</v>
      </c>
      <c r="J15" s="2">
        <v>0</v>
      </c>
      <c r="K15" s="2">
        <v>1012000</v>
      </c>
      <c r="L15" s="2">
        <v>960000</v>
      </c>
      <c r="M15" s="2">
        <v>11278668</v>
      </c>
      <c r="N15" s="2">
        <v>0</v>
      </c>
      <c r="O15" s="2">
        <v>1681436</v>
      </c>
      <c r="P15" s="2">
        <v>0</v>
      </c>
      <c r="Q15" s="2">
        <v>0</v>
      </c>
      <c r="R15" s="2">
        <v>1163051</v>
      </c>
      <c r="S15" s="2">
        <v>634380</v>
      </c>
      <c r="T15" s="2">
        <v>0</v>
      </c>
      <c r="U15" s="2">
        <v>0</v>
      </c>
      <c r="V15" s="2">
        <v>0</v>
      </c>
      <c r="W15" s="2">
        <v>3323002</v>
      </c>
      <c r="X15" s="2">
        <v>498450</v>
      </c>
      <c r="Y15" s="2">
        <v>0</v>
      </c>
      <c r="Z15" s="2">
        <v>18474871</v>
      </c>
      <c r="AA15" s="2">
        <v>1797431</v>
      </c>
      <c r="AB15" s="2">
        <v>13640</v>
      </c>
      <c r="AC15" s="2">
        <v>16677440</v>
      </c>
      <c r="AD15" s="2">
        <v>16677440</v>
      </c>
      <c r="AE15" s="2">
        <v>18474871</v>
      </c>
      <c r="AF15" s="2">
        <v>1797431</v>
      </c>
      <c r="AG15" s="2" t="str">
        <f t="shared" si="1"/>
        <v>موديان بزرگ</v>
      </c>
      <c r="AH15" s="2" t="str">
        <f t="shared" si="2"/>
        <v>گروه مالياتي 50 درصدي خدماتي</v>
      </c>
      <c r="AI15" s="2" t="str">
        <f t="shared" si="3"/>
        <v>شعبه شادگان</v>
      </c>
      <c r="AJ15" s="2" t="str">
        <f>"57963719"</f>
        <v>57963719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634380</v>
      </c>
      <c r="AV15" s="2">
        <v>0</v>
      </c>
      <c r="AW15" s="2">
        <v>1268760</v>
      </c>
      <c r="AX15" s="2">
        <v>1268760</v>
      </c>
      <c r="AY15" s="2">
        <v>1268760</v>
      </c>
    </row>
    <row r="16" spans="1:51">
      <c r="A16" s="2" t="str">
        <f>"9157060"</f>
        <v>9157060</v>
      </c>
      <c r="B16" s="2" t="str">
        <f>"مرد سياحي"</f>
        <v>مرد سياحي</v>
      </c>
      <c r="C16" s="2" t="str">
        <f t="shared" si="0"/>
        <v>توليد توسعه - دارخوين</v>
      </c>
      <c r="D16" s="2">
        <v>0</v>
      </c>
      <c r="E16" s="2">
        <v>13640</v>
      </c>
      <c r="F16" s="2">
        <v>0</v>
      </c>
      <c r="G16" s="2">
        <v>1859862</v>
      </c>
      <c r="H16" s="2">
        <v>400000</v>
      </c>
      <c r="I16" s="2">
        <v>1100000</v>
      </c>
      <c r="J16" s="2">
        <v>0</v>
      </c>
      <c r="K16" s="2">
        <v>1012000</v>
      </c>
      <c r="L16" s="2">
        <v>960000</v>
      </c>
      <c r="M16" s="2">
        <v>10765029</v>
      </c>
      <c r="N16" s="2">
        <v>0</v>
      </c>
      <c r="O16" s="2">
        <v>1681436</v>
      </c>
      <c r="P16" s="2">
        <v>0</v>
      </c>
      <c r="Q16" s="2">
        <v>0</v>
      </c>
      <c r="R16" s="2">
        <v>1114293</v>
      </c>
      <c r="S16" s="2">
        <v>634380</v>
      </c>
      <c r="T16" s="2">
        <v>0</v>
      </c>
      <c r="U16" s="2">
        <v>0</v>
      </c>
      <c r="V16" s="2">
        <v>4996679</v>
      </c>
      <c r="W16" s="2">
        <v>3183693</v>
      </c>
      <c r="X16" s="2">
        <v>477554</v>
      </c>
      <c r="Y16" s="2">
        <v>1</v>
      </c>
      <c r="Z16" s="2">
        <v>17778327</v>
      </c>
      <c r="AA16" s="2">
        <v>6745352</v>
      </c>
      <c r="AB16" s="2">
        <v>13640</v>
      </c>
      <c r="AC16" s="2">
        <v>11032975</v>
      </c>
      <c r="AD16" s="2">
        <v>11032975</v>
      </c>
      <c r="AE16" s="2">
        <v>17778327</v>
      </c>
      <c r="AF16" s="2">
        <v>6745352</v>
      </c>
      <c r="AG16" s="2" t="str">
        <f t="shared" si="1"/>
        <v>موديان بزرگ</v>
      </c>
      <c r="AH16" s="2" t="str">
        <f t="shared" si="2"/>
        <v>گروه مالياتي 50 درصدي خدماتي</v>
      </c>
      <c r="AI16" s="2" t="str">
        <f t="shared" si="3"/>
        <v>شعبه شادگان</v>
      </c>
      <c r="AJ16" s="2" t="str">
        <f>"57787686"</f>
        <v>57787686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634380</v>
      </c>
      <c r="AV16" s="2">
        <v>0</v>
      </c>
      <c r="AW16" s="2">
        <v>1268760</v>
      </c>
      <c r="AX16" s="2">
        <v>1268760</v>
      </c>
      <c r="AY16" s="2">
        <v>1268760</v>
      </c>
    </row>
    <row r="17" spans="1:51">
      <c r="A17" s="2" t="str">
        <f>"9157065"</f>
        <v>9157065</v>
      </c>
      <c r="B17" s="2" t="str">
        <f>"رحيم عقباوي"</f>
        <v>رحيم عقباوي</v>
      </c>
      <c r="C17" s="2" t="str">
        <f t="shared" si="0"/>
        <v>توليد توسعه - دارخوين</v>
      </c>
      <c r="D17" s="2">
        <v>2400</v>
      </c>
      <c r="E17" s="2">
        <v>13640</v>
      </c>
      <c r="F17" s="2">
        <v>3965911</v>
      </c>
      <c r="G17" s="2">
        <v>2789793</v>
      </c>
      <c r="H17" s="2">
        <v>400000</v>
      </c>
      <c r="I17" s="2">
        <v>1100000</v>
      </c>
      <c r="J17" s="2">
        <v>0</v>
      </c>
      <c r="K17" s="2">
        <v>1012000</v>
      </c>
      <c r="L17" s="2">
        <v>960000</v>
      </c>
      <c r="M17" s="2">
        <v>12306039</v>
      </c>
      <c r="N17" s="2">
        <v>0</v>
      </c>
      <c r="O17" s="2">
        <v>1744616</v>
      </c>
      <c r="P17" s="2">
        <v>0</v>
      </c>
      <c r="Q17" s="2">
        <v>0</v>
      </c>
      <c r="R17" s="2">
        <v>1504200</v>
      </c>
      <c r="S17" s="2">
        <v>2023268</v>
      </c>
      <c r="T17" s="2">
        <v>900000</v>
      </c>
      <c r="U17" s="2">
        <v>0</v>
      </c>
      <c r="V17" s="2">
        <v>0</v>
      </c>
      <c r="W17" s="2">
        <v>4297713</v>
      </c>
      <c r="X17" s="2">
        <v>644657</v>
      </c>
      <c r="Y17" s="2">
        <v>0</v>
      </c>
      <c r="Z17" s="2">
        <v>24278359</v>
      </c>
      <c r="AA17" s="2">
        <v>4427468</v>
      </c>
      <c r="AB17" s="2">
        <v>13640</v>
      </c>
      <c r="AC17" s="2">
        <v>19850891</v>
      </c>
      <c r="AD17" s="2">
        <v>19850891</v>
      </c>
      <c r="AE17" s="2">
        <v>24278359</v>
      </c>
      <c r="AF17" s="2">
        <v>4427468</v>
      </c>
      <c r="AG17" s="2" t="str">
        <f t="shared" si="1"/>
        <v>موديان بزرگ</v>
      </c>
      <c r="AH17" s="2" t="str">
        <f t="shared" si="2"/>
        <v>گروه مالياتي 50 درصدي خدماتي</v>
      </c>
      <c r="AI17" s="2" t="str">
        <f t="shared" si="3"/>
        <v>شعبه شادگان</v>
      </c>
      <c r="AJ17" s="2" t="str">
        <f>"57950611"</f>
        <v>57950611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1388888</v>
      </c>
      <c r="AQ17" s="2">
        <v>9166680</v>
      </c>
      <c r="AR17" s="2">
        <v>20833320</v>
      </c>
      <c r="AS17" s="2">
        <v>30000000</v>
      </c>
      <c r="AT17" s="2">
        <v>30000000</v>
      </c>
      <c r="AU17" s="2">
        <v>634380</v>
      </c>
      <c r="AV17" s="2">
        <v>0</v>
      </c>
      <c r="AW17" s="2">
        <v>1268760</v>
      </c>
      <c r="AX17" s="2">
        <v>1268760</v>
      </c>
      <c r="AY17" s="2">
        <v>1268760</v>
      </c>
    </row>
    <row r="18" spans="1:51">
      <c r="A18" s="2" t="str">
        <f>"9157066"</f>
        <v>9157066</v>
      </c>
      <c r="B18" s="2" t="str">
        <f>"جمشيد فرحانيان"</f>
        <v>جمشيد فرحانيان</v>
      </c>
      <c r="C18" s="2" t="str">
        <f t="shared" si="0"/>
        <v>توليد توسعه - دارخوين</v>
      </c>
      <c r="D18" s="2">
        <v>0</v>
      </c>
      <c r="E18" s="2">
        <v>13640</v>
      </c>
      <c r="F18" s="2">
        <v>0</v>
      </c>
      <c r="G18" s="2">
        <v>3719724</v>
      </c>
      <c r="H18" s="2">
        <v>400000</v>
      </c>
      <c r="I18" s="2">
        <v>1100000</v>
      </c>
      <c r="J18" s="2">
        <v>0</v>
      </c>
      <c r="K18" s="2">
        <v>1012000</v>
      </c>
      <c r="L18" s="2">
        <v>960000</v>
      </c>
      <c r="M18" s="2">
        <v>12948111</v>
      </c>
      <c r="N18" s="2">
        <v>0</v>
      </c>
      <c r="O18" s="2">
        <v>1765676</v>
      </c>
      <c r="P18" s="2">
        <v>0</v>
      </c>
      <c r="Q18" s="2">
        <v>0</v>
      </c>
      <c r="R18" s="2">
        <v>1273005</v>
      </c>
      <c r="S18" s="2">
        <v>2023268</v>
      </c>
      <c r="T18" s="2">
        <v>900000</v>
      </c>
      <c r="U18" s="2">
        <v>0</v>
      </c>
      <c r="V18" s="2">
        <v>0</v>
      </c>
      <c r="W18" s="2">
        <v>3637157</v>
      </c>
      <c r="X18" s="2">
        <v>545574</v>
      </c>
      <c r="Y18" s="2">
        <v>0</v>
      </c>
      <c r="Z18" s="2">
        <v>21905511</v>
      </c>
      <c r="AA18" s="2">
        <v>4196273</v>
      </c>
      <c r="AB18" s="2">
        <v>13640</v>
      </c>
      <c r="AC18" s="2">
        <v>17709238</v>
      </c>
      <c r="AD18" s="2">
        <v>17709238</v>
      </c>
      <c r="AE18" s="2">
        <v>21905511</v>
      </c>
      <c r="AF18" s="2">
        <v>4196273</v>
      </c>
      <c r="AG18" s="2" t="str">
        <f t="shared" si="1"/>
        <v>موديان بزرگ</v>
      </c>
      <c r="AH18" s="2" t="str">
        <f t="shared" si="2"/>
        <v>گروه مالياتي 50 درصدي خدماتي</v>
      </c>
      <c r="AI18" s="2" t="str">
        <f t="shared" si="3"/>
        <v>شعبه شادگان</v>
      </c>
      <c r="AJ18" s="2" t="str">
        <f>"57951656"</f>
        <v>57951656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1388888</v>
      </c>
      <c r="AQ18" s="2">
        <v>34722200</v>
      </c>
      <c r="AR18" s="2">
        <v>15277800</v>
      </c>
      <c r="AS18" s="2">
        <v>50000000</v>
      </c>
      <c r="AT18" s="2">
        <v>50000000</v>
      </c>
      <c r="AU18" s="2">
        <v>634380</v>
      </c>
      <c r="AV18" s="2">
        <v>0</v>
      </c>
      <c r="AW18" s="2">
        <v>1268760</v>
      </c>
      <c r="AX18" s="2">
        <v>1268760</v>
      </c>
      <c r="AY18" s="2">
        <v>1268760</v>
      </c>
    </row>
    <row r="19" spans="1:51">
      <c r="A19" s="2" t="str">
        <f>"9157068"</f>
        <v>9157068</v>
      </c>
      <c r="B19" s="2" t="str">
        <f>"مجتبي قنواتي زاده"</f>
        <v>مجتبي قنواتي زاده</v>
      </c>
      <c r="C19" s="2" t="str">
        <f t="shared" si="0"/>
        <v>توليد توسعه - دارخوين</v>
      </c>
      <c r="D19" s="2">
        <v>0</v>
      </c>
      <c r="E19" s="2">
        <v>13640</v>
      </c>
      <c r="F19" s="2">
        <v>0</v>
      </c>
      <c r="G19" s="2">
        <v>1859862</v>
      </c>
      <c r="H19" s="2">
        <v>400000</v>
      </c>
      <c r="I19" s="2">
        <v>1100000</v>
      </c>
      <c r="J19" s="2">
        <v>0</v>
      </c>
      <c r="K19" s="2">
        <v>1012000</v>
      </c>
      <c r="L19" s="2">
        <v>960000</v>
      </c>
      <c r="M19" s="2">
        <v>12306039</v>
      </c>
      <c r="N19" s="2">
        <v>0</v>
      </c>
      <c r="O19" s="2">
        <v>1744616</v>
      </c>
      <c r="P19" s="2">
        <v>0</v>
      </c>
      <c r="Q19" s="2">
        <v>0</v>
      </c>
      <c r="R19" s="2">
        <v>1226586</v>
      </c>
      <c r="S19" s="2">
        <v>1974380</v>
      </c>
      <c r="T19" s="2">
        <v>0</v>
      </c>
      <c r="U19" s="2">
        <v>0</v>
      </c>
      <c r="V19" s="2">
        <v>4850914</v>
      </c>
      <c r="W19" s="2">
        <v>3504531</v>
      </c>
      <c r="X19" s="2">
        <v>525680</v>
      </c>
      <c r="Y19" s="2">
        <v>1</v>
      </c>
      <c r="Z19" s="2">
        <v>19382517</v>
      </c>
      <c r="AA19" s="2">
        <v>8051880</v>
      </c>
      <c r="AB19" s="2">
        <v>13640</v>
      </c>
      <c r="AC19" s="2">
        <v>11330637</v>
      </c>
      <c r="AD19" s="2">
        <v>11330637</v>
      </c>
      <c r="AE19" s="2">
        <v>19382517</v>
      </c>
      <c r="AF19" s="2">
        <v>8051880</v>
      </c>
      <c r="AG19" s="2" t="str">
        <f t="shared" si="1"/>
        <v>موديان بزرگ</v>
      </c>
      <c r="AH19" s="2" t="str">
        <f t="shared" si="2"/>
        <v>گروه مالياتي 50 درصدي خدماتي</v>
      </c>
      <c r="AI19" s="2" t="str">
        <f t="shared" si="3"/>
        <v>شعبه شادگان</v>
      </c>
      <c r="AJ19" s="2" t="str">
        <f>"57964338"</f>
        <v>57964338</v>
      </c>
      <c r="AK19" s="2">
        <v>1340000</v>
      </c>
      <c r="AL19" s="2">
        <v>13400000</v>
      </c>
      <c r="AM19" s="2">
        <v>2680000</v>
      </c>
      <c r="AN19" s="2">
        <v>16080000</v>
      </c>
      <c r="AO19" s="2">
        <v>16080000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634380</v>
      </c>
      <c r="AV19" s="2">
        <v>0</v>
      </c>
      <c r="AW19" s="2">
        <v>1268760</v>
      </c>
      <c r="AX19" s="2">
        <v>1268760</v>
      </c>
      <c r="AY19" s="2">
        <v>1268760</v>
      </c>
    </row>
    <row r="20" spans="1:51">
      <c r="A20" s="2" t="str">
        <f>"9157070"</f>
        <v>9157070</v>
      </c>
      <c r="B20" s="2" t="str">
        <f>"فاضل مقدم"</f>
        <v>فاضل مقدم</v>
      </c>
      <c r="C20" s="2" t="str">
        <f t="shared" si="0"/>
        <v>توليد توسعه - دارخوين</v>
      </c>
      <c r="D20" s="2">
        <v>0</v>
      </c>
      <c r="E20" s="2">
        <v>13640</v>
      </c>
      <c r="F20" s="2">
        <v>0</v>
      </c>
      <c r="G20" s="2">
        <v>1859862</v>
      </c>
      <c r="H20" s="2">
        <v>400000</v>
      </c>
      <c r="I20" s="2">
        <v>1100000</v>
      </c>
      <c r="J20" s="2">
        <v>0</v>
      </c>
      <c r="K20" s="2">
        <v>1012000</v>
      </c>
      <c r="L20" s="2">
        <v>960000</v>
      </c>
      <c r="M20" s="2">
        <v>12948111</v>
      </c>
      <c r="N20" s="2">
        <v>0</v>
      </c>
      <c r="O20" s="2">
        <v>1765676</v>
      </c>
      <c r="P20" s="2">
        <v>0</v>
      </c>
      <c r="Q20" s="2">
        <v>0</v>
      </c>
      <c r="R20" s="2">
        <v>1273005</v>
      </c>
      <c r="S20" s="2">
        <v>634380</v>
      </c>
      <c r="T20" s="2">
        <v>0</v>
      </c>
      <c r="U20" s="2">
        <v>0</v>
      </c>
      <c r="V20" s="2">
        <v>0</v>
      </c>
      <c r="W20" s="2">
        <v>3637157</v>
      </c>
      <c r="X20" s="2">
        <v>545574</v>
      </c>
      <c r="Y20" s="2">
        <v>0</v>
      </c>
      <c r="Z20" s="2">
        <v>20045649</v>
      </c>
      <c r="AA20" s="2">
        <v>1907385</v>
      </c>
      <c r="AB20" s="2">
        <v>13640</v>
      </c>
      <c r="AC20" s="2">
        <v>18138264</v>
      </c>
      <c r="AD20" s="2">
        <v>18138264</v>
      </c>
      <c r="AE20" s="2">
        <v>20045649</v>
      </c>
      <c r="AF20" s="2">
        <v>1907385</v>
      </c>
      <c r="AG20" s="2" t="str">
        <f t="shared" si="1"/>
        <v>موديان بزرگ</v>
      </c>
      <c r="AH20" s="2" t="str">
        <f t="shared" si="2"/>
        <v>گروه مالياتي 50 درصدي خدماتي</v>
      </c>
      <c r="AI20" s="2" t="str">
        <f t="shared" si="3"/>
        <v>شعبه شادگان</v>
      </c>
      <c r="AJ20" s="2" t="str">
        <f>"76306655"</f>
        <v>76306655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634380</v>
      </c>
      <c r="AV20" s="2">
        <v>0</v>
      </c>
      <c r="AW20" s="2">
        <v>1268760</v>
      </c>
      <c r="AX20" s="2">
        <v>1268760</v>
      </c>
      <c r="AY20" s="2">
        <v>1268760</v>
      </c>
    </row>
    <row r="21" spans="1:51">
      <c r="A21" s="2" t="str">
        <f>"9157072"</f>
        <v>9157072</v>
      </c>
      <c r="B21" s="2" t="str">
        <f>"محمدامين نادري"</f>
        <v>محمدامين نادري</v>
      </c>
      <c r="C21" s="2" t="str">
        <f t="shared" si="0"/>
        <v>توليد توسعه - دارخوين</v>
      </c>
      <c r="D21" s="2">
        <v>0</v>
      </c>
      <c r="E21" s="2">
        <v>13640</v>
      </c>
      <c r="F21" s="2">
        <v>0</v>
      </c>
      <c r="G21" s="2">
        <v>1859862</v>
      </c>
      <c r="H21" s="2">
        <v>400000</v>
      </c>
      <c r="I21" s="2">
        <v>1100000</v>
      </c>
      <c r="J21" s="2">
        <v>0</v>
      </c>
      <c r="K21" s="2">
        <v>1012000</v>
      </c>
      <c r="L21" s="2">
        <v>960000</v>
      </c>
      <c r="M21" s="2">
        <v>11792369</v>
      </c>
      <c r="N21" s="2">
        <v>0</v>
      </c>
      <c r="O21" s="2">
        <v>1731472</v>
      </c>
      <c r="P21" s="2">
        <v>0</v>
      </c>
      <c r="Q21" s="2">
        <v>0</v>
      </c>
      <c r="R21" s="2">
        <v>1189709</v>
      </c>
      <c r="S21" s="2">
        <v>634380</v>
      </c>
      <c r="T21" s="2">
        <v>0</v>
      </c>
      <c r="U21" s="2">
        <v>0</v>
      </c>
      <c r="V21" s="2">
        <v>985287</v>
      </c>
      <c r="W21" s="2">
        <v>3399168</v>
      </c>
      <c r="X21" s="2">
        <v>509875</v>
      </c>
      <c r="Y21" s="2">
        <v>0</v>
      </c>
      <c r="Z21" s="2">
        <v>18855703</v>
      </c>
      <c r="AA21" s="2">
        <v>2809376</v>
      </c>
      <c r="AB21" s="2">
        <v>13640</v>
      </c>
      <c r="AC21" s="2">
        <v>16046327</v>
      </c>
      <c r="AD21" s="2">
        <v>16046327</v>
      </c>
      <c r="AE21" s="2">
        <v>18855703</v>
      </c>
      <c r="AF21" s="2">
        <v>2809376</v>
      </c>
      <c r="AG21" s="2" t="str">
        <f t="shared" si="1"/>
        <v>موديان بزرگ</v>
      </c>
      <c r="AH21" s="2" t="str">
        <f t="shared" si="2"/>
        <v>گروه مالياتي 50 درصدي خدماتي</v>
      </c>
      <c r="AI21" s="2" t="str">
        <f t="shared" si="3"/>
        <v>شعبه شادگان</v>
      </c>
      <c r="AJ21" s="2" t="str">
        <f>"57959895"</f>
        <v>57959895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634380</v>
      </c>
      <c r="AV21" s="2">
        <v>0</v>
      </c>
      <c r="AW21" s="2">
        <v>1268760</v>
      </c>
      <c r="AX21" s="2">
        <v>1268760</v>
      </c>
      <c r="AY21" s="2">
        <v>1268760</v>
      </c>
    </row>
    <row r="22" spans="1:51">
      <c r="A22" s="2" t="str">
        <f>"9157075"</f>
        <v>9157075</v>
      </c>
      <c r="B22" s="2" t="str">
        <f>"علي پورحزبه"</f>
        <v>علي پورحزبه</v>
      </c>
      <c r="C22" s="2" t="str">
        <f t="shared" si="0"/>
        <v>توليد توسعه - دارخوين</v>
      </c>
      <c r="D22" s="2">
        <v>0</v>
      </c>
      <c r="E22" s="2">
        <v>13640</v>
      </c>
      <c r="F22" s="2">
        <v>0</v>
      </c>
      <c r="G22" s="2">
        <v>929931</v>
      </c>
      <c r="H22" s="2">
        <v>400000</v>
      </c>
      <c r="I22" s="2">
        <v>1100000</v>
      </c>
      <c r="J22" s="2">
        <v>0</v>
      </c>
      <c r="K22" s="2">
        <v>1012000</v>
      </c>
      <c r="L22" s="2">
        <v>960000</v>
      </c>
      <c r="M22" s="2">
        <v>12306039</v>
      </c>
      <c r="N22" s="2">
        <v>0</v>
      </c>
      <c r="O22" s="2">
        <v>1736701</v>
      </c>
      <c r="P22" s="2">
        <v>0</v>
      </c>
      <c r="Q22" s="2">
        <v>0</v>
      </c>
      <c r="R22" s="2">
        <v>1226032</v>
      </c>
      <c r="S22" s="2">
        <v>1974380</v>
      </c>
      <c r="T22" s="2">
        <v>0</v>
      </c>
      <c r="U22" s="2">
        <v>0</v>
      </c>
      <c r="V22" s="2">
        <v>0</v>
      </c>
      <c r="W22" s="2">
        <v>3502948</v>
      </c>
      <c r="X22" s="2">
        <v>525442</v>
      </c>
      <c r="Y22" s="2">
        <v>1</v>
      </c>
      <c r="Z22" s="2">
        <v>18444671</v>
      </c>
      <c r="AA22" s="2">
        <v>3200412</v>
      </c>
      <c r="AB22" s="2">
        <v>13640</v>
      </c>
      <c r="AC22" s="2">
        <v>15244259</v>
      </c>
      <c r="AD22" s="2">
        <v>15244259</v>
      </c>
      <c r="AE22" s="2">
        <v>18444671</v>
      </c>
      <c r="AF22" s="2">
        <v>3200412</v>
      </c>
      <c r="AG22" s="2" t="str">
        <f t="shared" si="1"/>
        <v>موديان بزرگ</v>
      </c>
      <c r="AH22" s="2" t="str">
        <f t="shared" si="2"/>
        <v>گروه مالياتي 50 درصدي خدماتي</v>
      </c>
      <c r="AI22" s="2" t="str">
        <f t="shared" si="3"/>
        <v>شعبه شادگان</v>
      </c>
      <c r="AJ22" s="2" t="str">
        <f>"52551779"</f>
        <v>52551779</v>
      </c>
      <c r="AK22" s="2">
        <v>1340000</v>
      </c>
      <c r="AL22" s="2">
        <v>13400000</v>
      </c>
      <c r="AM22" s="2">
        <v>2680000</v>
      </c>
      <c r="AN22" s="2">
        <v>16080000</v>
      </c>
      <c r="AO22" s="2">
        <v>16080000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634380</v>
      </c>
      <c r="AV22" s="2">
        <v>0</v>
      </c>
      <c r="AW22" s="2">
        <v>1268760</v>
      </c>
      <c r="AX22" s="2">
        <v>1268760</v>
      </c>
      <c r="AY22" s="2">
        <v>1268760</v>
      </c>
    </row>
    <row r="23" spans="1:51">
      <c r="A23" s="2" t="str">
        <f>"9157077"</f>
        <v>9157077</v>
      </c>
      <c r="B23" s="2" t="str">
        <f>"جاسم جامدي باوي"</f>
        <v>جاسم جامدي باوي</v>
      </c>
      <c r="C23" s="2" t="str">
        <f t="shared" si="0"/>
        <v>توليد توسعه - دارخوين</v>
      </c>
      <c r="D23" s="2">
        <v>0</v>
      </c>
      <c r="E23" s="2">
        <v>13640</v>
      </c>
      <c r="F23" s="2">
        <v>0</v>
      </c>
      <c r="G23" s="2">
        <v>2789793</v>
      </c>
      <c r="H23" s="2">
        <v>400000</v>
      </c>
      <c r="I23" s="2">
        <v>1100000</v>
      </c>
      <c r="J23" s="2">
        <v>0</v>
      </c>
      <c r="K23" s="2">
        <v>1012000</v>
      </c>
      <c r="L23" s="2">
        <v>960000</v>
      </c>
      <c r="M23" s="2">
        <v>12306039</v>
      </c>
      <c r="N23" s="2">
        <v>513670</v>
      </c>
      <c r="O23" s="2">
        <v>1723557</v>
      </c>
      <c r="P23" s="2">
        <v>0</v>
      </c>
      <c r="Q23" s="2">
        <v>0</v>
      </c>
      <c r="R23" s="2">
        <v>1261069</v>
      </c>
      <c r="S23" s="2">
        <v>634380</v>
      </c>
      <c r="T23" s="2">
        <v>0</v>
      </c>
      <c r="U23" s="2">
        <v>0</v>
      </c>
      <c r="V23" s="2">
        <v>0</v>
      </c>
      <c r="W23" s="2">
        <v>3603053</v>
      </c>
      <c r="X23" s="2">
        <v>540458</v>
      </c>
      <c r="Y23" s="2">
        <v>1</v>
      </c>
      <c r="Z23" s="2">
        <v>20805059</v>
      </c>
      <c r="AA23" s="2">
        <v>1895449</v>
      </c>
      <c r="AB23" s="2">
        <v>13640</v>
      </c>
      <c r="AC23" s="2">
        <v>18909610</v>
      </c>
      <c r="AD23" s="2">
        <v>18909610</v>
      </c>
      <c r="AE23" s="2">
        <v>20805059</v>
      </c>
      <c r="AF23" s="2">
        <v>1895449</v>
      </c>
      <c r="AG23" s="2" t="str">
        <f t="shared" si="1"/>
        <v>موديان بزرگ</v>
      </c>
      <c r="AH23" s="2" t="str">
        <f t="shared" si="2"/>
        <v>گروه مالياتي 50 درصدي خدماتي</v>
      </c>
      <c r="AI23" s="2" t="str">
        <f t="shared" si="3"/>
        <v>شعبه شادگان</v>
      </c>
      <c r="AJ23" s="2" t="str">
        <f>"57963718"</f>
        <v>57963718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634380</v>
      </c>
      <c r="AV23" s="2">
        <v>0</v>
      </c>
      <c r="AW23" s="2">
        <v>1268760</v>
      </c>
      <c r="AX23" s="2">
        <v>1268760</v>
      </c>
      <c r="AY23" s="2">
        <v>1268760</v>
      </c>
    </row>
    <row r="24" spans="1:51">
      <c r="A24" s="2" t="str">
        <f>"9157081"</f>
        <v>9157081</v>
      </c>
      <c r="B24" s="2" t="str">
        <f>"فهد چاملي"</f>
        <v>فهد چاملي</v>
      </c>
      <c r="C24" s="2" t="str">
        <f t="shared" si="0"/>
        <v>توليد توسعه - دارخوين</v>
      </c>
      <c r="D24" s="2">
        <v>0</v>
      </c>
      <c r="E24" s="2">
        <v>13640</v>
      </c>
      <c r="F24" s="2">
        <v>0</v>
      </c>
      <c r="G24" s="2">
        <v>1859862</v>
      </c>
      <c r="H24" s="2">
        <v>400000</v>
      </c>
      <c r="I24" s="2">
        <v>1100000</v>
      </c>
      <c r="J24" s="2">
        <v>0</v>
      </c>
      <c r="K24" s="2">
        <v>1012000</v>
      </c>
      <c r="L24" s="2">
        <v>960000</v>
      </c>
      <c r="M24" s="2">
        <v>12306039</v>
      </c>
      <c r="N24" s="2">
        <v>0</v>
      </c>
      <c r="O24" s="2">
        <v>1731472</v>
      </c>
      <c r="P24" s="2">
        <v>0</v>
      </c>
      <c r="Q24" s="2">
        <v>0</v>
      </c>
      <c r="R24" s="2">
        <v>1225666</v>
      </c>
      <c r="S24" s="2">
        <v>3363268</v>
      </c>
      <c r="T24" s="2">
        <v>900000</v>
      </c>
      <c r="U24" s="2">
        <v>0</v>
      </c>
      <c r="V24" s="2">
        <v>0</v>
      </c>
      <c r="W24" s="2">
        <v>3501902</v>
      </c>
      <c r="X24" s="2">
        <v>525285</v>
      </c>
      <c r="Y24" s="2">
        <v>0</v>
      </c>
      <c r="Z24" s="2">
        <v>19369373</v>
      </c>
      <c r="AA24" s="2">
        <v>5488934</v>
      </c>
      <c r="AB24" s="2">
        <v>13640</v>
      </c>
      <c r="AC24" s="2">
        <v>13880439</v>
      </c>
      <c r="AD24" s="2">
        <v>13880439</v>
      </c>
      <c r="AE24" s="2">
        <v>19369373</v>
      </c>
      <c r="AF24" s="2">
        <v>5488934</v>
      </c>
      <c r="AG24" s="2" t="str">
        <f t="shared" si="1"/>
        <v>موديان بزرگ</v>
      </c>
      <c r="AH24" s="2" t="str">
        <f t="shared" si="2"/>
        <v>گروه مالياتي 50 درصدي خدماتي</v>
      </c>
      <c r="AI24" s="2" t="str">
        <f t="shared" si="3"/>
        <v>شعبه شادگان</v>
      </c>
      <c r="AJ24" s="2" t="str">
        <f>"57961939"</f>
        <v>57961939</v>
      </c>
      <c r="AK24" s="2">
        <v>1340000</v>
      </c>
      <c r="AL24" s="2">
        <v>13400000</v>
      </c>
      <c r="AM24" s="2">
        <v>2680000</v>
      </c>
      <c r="AN24" s="2">
        <v>16080000</v>
      </c>
      <c r="AO24" s="2">
        <v>16080000</v>
      </c>
      <c r="AP24" s="2">
        <v>1388888</v>
      </c>
      <c r="AQ24" s="2">
        <v>36111088</v>
      </c>
      <c r="AR24" s="2">
        <v>13888912</v>
      </c>
      <c r="AS24" s="2">
        <v>50000000</v>
      </c>
      <c r="AT24" s="2">
        <v>50000000</v>
      </c>
      <c r="AU24" s="2">
        <v>634380</v>
      </c>
      <c r="AV24" s="2">
        <v>0</v>
      </c>
      <c r="AW24" s="2">
        <v>1268760</v>
      </c>
      <c r="AX24" s="2">
        <v>1268760</v>
      </c>
      <c r="AY24" s="2">
        <v>1268760</v>
      </c>
    </row>
    <row r="25" spans="1:51">
      <c r="A25" s="2" t="str">
        <f>"9157089"</f>
        <v>9157089</v>
      </c>
      <c r="B25" s="2" t="str">
        <f>"منصور خنفري راد"</f>
        <v>منصور خنفري راد</v>
      </c>
      <c r="C25" s="2" t="str">
        <f t="shared" si="0"/>
        <v>توليد توسعه - دارخوين</v>
      </c>
      <c r="D25" s="2">
        <v>300</v>
      </c>
      <c r="E25" s="2">
        <v>13640</v>
      </c>
      <c r="F25" s="2">
        <v>570463</v>
      </c>
      <c r="G25" s="2">
        <v>1859862</v>
      </c>
      <c r="H25" s="2">
        <v>400000</v>
      </c>
      <c r="I25" s="2">
        <v>1100000</v>
      </c>
      <c r="J25" s="2">
        <v>0</v>
      </c>
      <c r="K25" s="2">
        <v>1012000</v>
      </c>
      <c r="L25" s="2">
        <v>960000</v>
      </c>
      <c r="M25" s="2">
        <v>14360750</v>
      </c>
      <c r="N25" s="2">
        <v>0</v>
      </c>
      <c r="O25" s="2">
        <v>1807797</v>
      </c>
      <c r="P25" s="2">
        <v>0</v>
      </c>
      <c r="Q25" s="2">
        <v>0</v>
      </c>
      <c r="R25" s="2">
        <v>1414771</v>
      </c>
      <c r="S25" s="2">
        <v>2644380</v>
      </c>
      <c r="T25" s="2">
        <v>0</v>
      </c>
      <c r="U25" s="2">
        <v>0</v>
      </c>
      <c r="V25" s="2">
        <v>0</v>
      </c>
      <c r="W25" s="2">
        <v>4042202</v>
      </c>
      <c r="X25" s="2">
        <v>606330</v>
      </c>
      <c r="Y25" s="2">
        <v>0</v>
      </c>
      <c r="Z25" s="2">
        <v>22070872</v>
      </c>
      <c r="AA25" s="2">
        <v>4059151</v>
      </c>
      <c r="AB25" s="2">
        <v>13640</v>
      </c>
      <c r="AC25" s="2">
        <v>18011721</v>
      </c>
      <c r="AD25" s="2">
        <v>18011721</v>
      </c>
      <c r="AE25" s="2">
        <v>22070872</v>
      </c>
      <c r="AF25" s="2">
        <v>4059151</v>
      </c>
      <c r="AG25" s="2" t="str">
        <f t="shared" si="1"/>
        <v>موديان بزرگ</v>
      </c>
      <c r="AH25" s="2" t="str">
        <f t="shared" si="2"/>
        <v>گروه مالياتي 50 درصدي خدماتي</v>
      </c>
      <c r="AI25" s="2" t="str">
        <f t="shared" si="3"/>
        <v>شعبه شادگان</v>
      </c>
      <c r="AJ25" s="2" t="str">
        <f>"57962868"</f>
        <v>57962868</v>
      </c>
      <c r="AK25" s="2">
        <v>2010000</v>
      </c>
      <c r="AL25" s="2">
        <v>20100000</v>
      </c>
      <c r="AM25" s="2">
        <v>4020000</v>
      </c>
      <c r="AN25" s="2">
        <v>24120000</v>
      </c>
      <c r="AO25" s="2">
        <v>24120000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634380</v>
      </c>
      <c r="AV25" s="2">
        <v>0</v>
      </c>
      <c r="AW25" s="2">
        <v>1268760</v>
      </c>
      <c r="AX25" s="2">
        <v>1268760</v>
      </c>
      <c r="AY25" s="2">
        <v>1268760</v>
      </c>
    </row>
    <row r="26" spans="1:51">
      <c r="A26" s="2" t="str">
        <f>"9157090"</f>
        <v>9157090</v>
      </c>
      <c r="B26" s="2" t="str">
        <f>"جميل زرگاني"</f>
        <v>جميل زرگاني</v>
      </c>
      <c r="C26" s="2" t="str">
        <f t="shared" si="0"/>
        <v>توليد توسعه - دارخوين</v>
      </c>
      <c r="D26" s="2">
        <v>0</v>
      </c>
      <c r="E26" s="2">
        <v>13640</v>
      </c>
      <c r="F26" s="2">
        <v>0</v>
      </c>
      <c r="G26" s="2">
        <v>1859862</v>
      </c>
      <c r="H26" s="2">
        <v>400000</v>
      </c>
      <c r="I26" s="2">
        <v>1100000</v>
      </c>
      <c r="J26" s="2">
        <v>0</v>
      </c>
      <c r="K26" s="2">
        <v>1012000</v>
      </c>
      <c r="L26" s="2">
        <v>960000</v>
      </c>
      <c r="M26" s="2">
        <v>14360750</v>
      </c>
      <c r="N26" s="2">
        <v>0</v>
      </c>
      <c r="O26" s="2">
        <v>1807797</v>
      </c>
      <c r="P26" s="2">
        <v>0</v>
      </c>
      <c r="Q26" s="2">
        <v>0</v>
      </c>
      <c r="R26" s="2">
        <v>1374838</v>
      </c>
      <c r="S26" s="2">
        <v>3363268</v>
      </c>
      <c r="T26" s="2">
        <v>900000</v>
      </c>
      <c r="U26" s="2">
        <v>0</v>
      </c>
      <c r="V26" s="2">
        <v>4944000</v>
      </c>
      <c r="W26" s="2">
        <v>3928109</v>
      </c>
      <c r="X26" s="2">
        <v>589216</v>
      </c>
      <c r="Y26" s="2">
        <v>0</v>
      </c>
      <c r="Z26" s="2">
        <v>21500409</v>
      </c>
      <c r="AA26" s="2">
        <v>10582106</v>
      </c>
      <c r="AB26" s="2">
        <v>13640</v>
      </c>
      <c r="AC26" s="2">
        <v>10918303</v>
      </c>
      <c r="AD26" s="2">
        <v>10918303</v>
      </c>
      <c r="AE26" s="2">
        <v>21500409</v>
      </c>
      <c r="AF26" s="2">
        <v>10582106</v>
      </c>
      <c r="AG26" s="2" t="str">
        <f t="shared" si="1"/>
        <v>موديان بزرگ</v>
      </c>
      <c r="AH26" s="2" t="str">
        <f t="shared" si="2"/>
        <v>گروه مالياتي 50 درصدي خدماتي</v>
      </c>
      <c r="AI26" s="2" t="str">
        <f t="shared" si="3"/>
        <v>شعبه شادگان</v>
      </c>
      <c r="AJ26" s="2" t="str">
        <f>"57959541"</f>
        <v>57959541</v>
      </c>
      <c r="AK26" s="2">
        <v>1340000</v>
      </c>
      <c r="AL26" s="2">
        <v>13400000</v>
      </c>
      <c r="AM26" s="2">
        <v>2680000</v>
      </c>
      <c r="AN26" s="2">
        <v>16080000</v>
      </c>
      <c r="AO26" s="2">
        <v>16080000</v>
      </c>
      <c r="AP26" s="2">
        <v>1388888</v>
      </c>
      <c r="AQ26" s="2">
        <v>20833320</v>
      </c>
      <c r="AR26" s="2">
        <v>29166680</v>
      </c>
      <c r="AS26" s="2">
        <v>50000000</v>
      </c>
      <c r="AT26" s="2">
        <v>50000000</v>
      </c>
      <c r="AU26" s="2">
        <v>634380</v>
      </c>
      <c r="AV26" s="2">
        <v>0</v>
      </c>
      <c r="AW26" s="2">
        <v>1268760</v>
      </c>
      <c r="AX26" s="2">
        <v>1268760</v>
      </c>
      <c r="AY26" s="2">
        <v>1268760</v>
      </c>
    </row>
    <row r="27" spans="1:51">
      <c r="A27" s="2" t="str">
        <f>"9157091"</f>
        <v>9157091</v>
      </c>
      <c r="B27" s="2" t="str">
        <f>"علي ساري"</f>
        <v>علي ساري</v>
      </c>
      <c r="C27" s="2" t="str">
        <f t="shared" si="0"/>
        <v>توليد توسعه - دارخوين</v>
      </c>
      <c r="D27" s="2">
        <v>0</v>
      </c>
      <c r="E27" s="2">
        <v>13640</v>
      </c>
      <c r="F27" s="2">
        <v>0</v>
      </c>
      <c r="G27" s="2">
        <v>929931</v>
      </c>
      <c r="H27" s="2">
        <v>400000</v>
      </c>
      <c r="I27" s="2">
        <v>1100000</v>
      </c>
      <c r="J27" s="2">
        <v>0</v>
      </c>
      <c r="K27" s="2">
        <v>1012000</v>
      </c>
      <c r="L27" s="2">
        <v>960000</v>
      </c>
      <c r="M27" s="2">
        <v>11792369</v>
      </c>
      <c r="N27" s="2">
        <v>0</v>
      </c>
      <c r="O27" s="2">
        <v>1723557</v>
      </c>
      <c r="P27" s="2">
        <v>0</v>
      </c>
      <c r="Q27" s="2">
        <v>0</v>
      </c>
      <c r="R27" s="2">
        <v>1189155</v>
      </c>
      <c r="S27" s="2">
        <v>634380</v>
      </c>
      <c r="T27" s="2">
        <v>0</v>
      </c>
      <c r="U27" s="2">
        <v>0</v>
      </c>
      <c r="V27" s="2">
        <v>0</v>
      </c>
      <c r="W27" s="2">
        <v>3397585</v>
      </c>
      <c r="X27" s="2">
        <v>509638</v>
      </c>
      <c r="Y27" s="2">
        <v>1</v>
      </c>
      <c r="Z27" s="2">
        <v>17917857</v>
      </c>
      <c r="AA27" s="2">
        <v>1823535</v>
      </c>
      <c r="AB27" s="2">
        <v>13640</v>
      </c>
      <c r="AC27" s="2">
        <v>16094322</v>
      </c>
      <c r="AD27" s="2">
        <v>16094322</v>
      </c>
      <c r="AE27" s="2">
        <v>17917857</v>
      </c>
      <c r="AF27" s="2">
        <v>1823535</v>
      </c>
      <c r="AG27" s="2" t="str">
        <f t="shared" si="1"/>
        <v>موديان بزرگ</v>
      </c>
      <c r="AH27" s="2" t="str">
        <f t="shared" si="2"/>
        <v>گروه مالياتي 50 درصدي خدماتي</v>
      </c>
      <c r="AI27" s="2" t="str">
        <f t="shared" si="3"/>
        <v>شعبه شادگان</v>
      </c>
      <c r="AJ27" s="2" t="str">
        <f>"52564961"</f>
        <v>52564961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634380</v>
      </c>
      <c r="AV27" s="2">
        <v>0</v>
      </c>
      <c r="AW27" s="2">
        <v>1268760</v>
      </c>
      <c r="AX27" s="2">
        <v>1268760</v>
      </c>
      <c r="AY27" s="2">
        <v>1268760</v>
      </c>
    </row>
    <row r="28" spans="1:51">
      <c r="D28" s="3">
        <f>SUM(D2:D27)</f>
        <v>3540</v>
      </c>
      <c r="E28" s="3">
        <f t="shared" ref="E28:Q28" si="4">SUM(E2:E27)</f>
        <v>354640</v>
      </c>
      <c r="F28" s="3">
        <f t="shared" si="4"/>
        <v>6358565</v>
      </c>
      <c r="G28" s="3">
        <f t="shared" si="4"/>
        <v>42776826</v>
      </c>
      <c r="H28" s="3">
        <f t="shared" si="4"/>
        <v>10400000</v>
      </c>
      <c r="I28" s="3">
        <f t="shared" si="4"/>
        <v>28600000</v>
      </c>
      <c r="J28" s="3">
        <f t="shared" si="4"/>
        <v>0</v>
      </c>
      <c r="K28" s="3">
        <f t="shared" si="4"/>
        <v>26312000</v>
      </c>
      <c r="L28" s="3">
        <f t="shared" si="4"/>
        <v>24960000</v>
      </c>
      <c r="M28" s="3">
        <f t="shared" si="4"/>
        <v>342558742</v>
      </c>
      <c r="N28" s="3">
        <f t="shared" si="4"/>
        <v>513670</v>
      </c>
      <c r="O28" s="3">
        <f t="shared" si="4"/>
        <v>45779305</v>
      </c>
      <c r="P28" s="3">
        <f t="shared" si="4"/>
        <v>0</v>
      </c>
      <c r="Q28" s="3">
        <f t="shared" si="4"/>
        <v>98240</v>
      </c>
      <c r="R28" s="3">
        <f t="shared" ref="R28:AO28" si="5">SUM(R2:R27)</f>
        <v>33990640</v>
      </c>
      <c r="S28" s="3">
        <f t="shared" si="5"/>
        <v>42491648</v>
      </c>
      <c r="T28" s="3">
        <f t="shared" si="5"/>
        <v>9900000</v>
      </c>
      <c r="U28" s="3">
        <f t="shared" si="5"/>
        <v>0</v>
      </c>
      <c r="V28" s="3">
        <f t="shared" si="5"/>
        <v>22686106</v>
      </c>
      <c r="W28" s="3">
        <f t="shared" si="5"/>
        <v>97116101</v>
      </c>
      <c r="X28" s="3">
        <f t="shared" si="5"/>
        <v>14567415</v>
      </c>
      <c r="Y28" s="3">
        <f t="shared" si="5"/>
        <v>8</v>
      </c>
      <c r="Z28" s="3">
        <f t="shared" si="5"/>
        <v>528357348</v>
      </c>
      <c r="AA28" s="3">
        <f t="shared" si="5"/>
        <v>109068394</v>
      </c>
      <c r="AB28" s="3">
        <f t="shared" si="5"/>
        <v>354640</v>
      </c>
      <c r="AC28" s="3">
        <f t="shared" si="5"/>
        <v>419288954</v>
      </c>
      <c r="AD28" s="3">
        <f t="shared" si="5"/>
        <v>419288954</v>
      </c>
      <c r="AE28" s="3">
        <f t="shared" si="5"/>
        <v>528357348</v>
      </c>
      <c r="AF28" s="3">
        <f t="shared" si="5"/>
        <v>109068394</v>
      </c>
      <c r="AG28" s="3">
        <f t="shared" si="5"/>
        <v>0</v>
      </c>
      <c r="AH28" s="3">
        <f t="shared" si="5"/>
        <v>0</v>
      </c>
      <c r="AI28" s="3">
        <f t="shared" si="5"/>
        <v>0</v>
      </c>
      <c r="AJ28" s="3">
        <f t="shared" si="5"/>
        <v>0</v>
      </c>
      <c r="AK28" s="3">
        <f t="shared" si="5"/>
        <v>10720000</v>
      </c>
      <c r="AL28" s="3">
        <f t="shared" si="5"/>
        <v>107200000</v>
      </c>
      <c r="AM28" s="3">
        <f t="shared" si="5"/>
        <v>21440000</v>
      </c>
      <c r="AN28" s="3">
        <f t="shared" si="5"/>
        <v>128640000</v>
      </c>
      <c r="AO28" s="3">
        <f t="shared" si="5"/>
        <v>128640000</v>
      </c>
      <c r="AP28" s="3">
        <f t="shared" ref="AP28:AV28" si="6">SUM(AP2:AP27)</f>
        <v>15277768</v>
      </c>
      <c r="AQ28" s="3">
        <f t="shared" si="6"/>
        <v>213611032</v>
      </c>
      <c r="AR28" s="3">
        <f t="shared" si="6"/>
        <v>256944536</v>
      </c>
      <c r="AS28" s="3">
        <f t="shared" si="6"/>
        <v>470555568</v>
      </c>
      <c r="AT28" s="3">
        <f t="shared" si="6"/>
        <v>470555568</v>
      </c>
      <c r="AU28" s="3">
        <f t="shared" si="6"/>
        <v>16493880</v>
      </c>
      <c r="AV28" s="3">
        <f t="shared" si="6"/>
        <v>0</v>
      </c>
      <c r="AW28" s="3">
        <f t="shared" ref="AW28:AY28" si="7">SUM(AW2:AW27)</f>
        <v>32987760</v>
      </c>
      <c r="AX28" s="3">
        <f t="shared" si="7"/>
        <v>32987760</v>
      </c>
      <c r="AY28" s="3">
        <f t="shared" si="7"/>
        <v>32987760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rightToLeft="1" topLeftCell="J1" workbookViewId="0">
      <selection activeCell="N34" sqref="N34"/>
    </sheetView>
  </sheetViews>
  <sheetFormatPr defaultRowHeight="15"/>
  <cols>
    <col min="1" max="1" width="14.42578125" bestFit="1" customWidth="1"/>
    <col min="2" max="2" width="12.7109375" bestFit="1" customWidth="1"/>
    <col min="3" max="3" width="21" bestFit="1" customWidth="1"/>
    <col min="4" max="4" width="27.7109375" bestFit="1" customWidth="1"/>
    <col min="5" max="5" width="22.5703125" bestFit="1" customWidth="1"/>
    <col min="6" max="6" width="26.28515625" bestFit="1" customWidth="1"/>
    <col min="7" max="7" width="27.85546875" bestFit="1" customWidth="1"/>
    <col min="8" max="8" width="24.85546875" bestFit="1" customWidth="1"/>
    <col min="9" max="9" width="39.28515625" bestFit="1" customWidth="1"/>
    <col min="10" max="10" width="28.140625" bestFit="1" customWidth="1"/>
    <col min="11" max="11" width="25.42578125" bestFit="1" customWidth="1"/>
    <col min="12" max="12" width="27.28515625" bestFit="1" customWidth="1"/>
    <col min="13" max="13" width="19.7109375" bestFit="1" customWidth="1"/>
    <col min="14" max="14" width="16" bestFit="1" customWidth="1"/>
    <col min="15" max="15" width="17.5703125" bestFit="1" customWidth="1"/>
  </cols>
  <sheetData>
    <row r="1" spans="1:15">
      <c r="A1" s="6" t="s">
        <v>0</v>
      </c>
      <c r="B1" s="6" t="s">
        <v>109</v>
      </c>
      <c r="C1" s="6" t="s">
        <v>51</v>
      </c>
      <c r="D1" s="6" t="s">
        <v>1</v>
      </c>
      <c r="E1" s="6" t="s">
        <v>2</v>
      </c>
      <c r="F1" s="6" t="s">
        <v>110</v>
      </c>
      <c r="G1" s="6" t="s">
        <v>111</v>
      </c>
      <c r="H1" s="6" t="s">
        <v>112</v>
      </c>
      <c r="I1" s="6" t="s">
        <v>113</v>
      </c>
      <c r="J1" s="6" t="s">
        <v>114</v>
      </c>
      <c r="K1" s="6" t="s">
        <v>115</v>
      </c>
      <c r="L1" s="6" t="s">
        <v>116</v>
      </c>
      <c r="M1" s="6" t="s">
        <v>117</v>
      </c>
      <c r="N1" s="6" t="s">
        <v>118</v>
      </c>
      <c r="O1" s="6" t="s">
        <v>119</v>
      </c>
    </row>
    <row r="2" spans="1:15">
      <c r="A2" s="7" t="s">
        <v>53</v>
      </c>
      <c r="B2" s="7" t="s">
        <v>121</v>
      </c>
      <c r="C2" s="7" t="s">
        <v>122</v>
      </c>
      <c r="D2" s="7" t="s">
        <v>54</v>
      </c>
      <c r="E2" s="7" t="s">
        <v>52</v>
      </c>
      <c r="F2" s="7">
        <v>11411970</v>
      </c>
      <c r="G2" s="7">
        <v>1647577</v>
      </c>
      <c r="H2" s="7">
        <v>0</v>
      </c>
      <c r="I2" s="7">
        <v>0</v>
      </c>
      <c r="J2" s="7">
        <v>400000</v>
      </c>
      <c r="K2" s="7">
        <v>0</v>
      </c>
      <c r="L2" s="7">
        <v>1100000</v>
      </c>
      <c r="M2" s="7">
        <v>14559547</v>
      </c>
      <c r="N2" s="7">
        <v>1088295.5833333333</v>
      </c>
      <c r="O2" s="7">
        <v>2324827.5</v>
      </c>
    </row>
    <row r="3" spans="1:15">
      <c r="A3" s="7" t="s">
        <v>55</v>
      </c>
      <c r="B3" s="7" t="s">
        <v>123</v>
      </c>
      <c r="C3" s="7" t="s">
        <v>124</v>
      </c>
      <c r="D3" s="7" t="s">
        <v>56</v>
      </c>
      <c r="E3" s="7" t="s">
        <v>52</v>
      </c>
      <c r="F3" s="7">
        <v>13897500</v>
      </c>
      <c r="G3" s="7">
        <v>1749481</v>
      </c>
      <c r="H3" s="7">
        <v>0</v>
      </c>
      <c r="I3" s="7">
        <v>0</v>
      </c>
      <c r="J3" s="7">
        <v>400000</v>
      </c>
      <c r="K3" s="7">
        <v>0</v>
      </c>
      <c r="L3" s="7">
        <v>1100000</v>
      </c>
      <c r="M3" s="7">
        <v>17146981</v>
      </c>
      <c r="N3" s="7">
        <v>1303915.0833333333</v>
      </c>
      <c r="O3" s="7">
        <v>2324827.5</v>
      </c>
    </row>
    <row r="4" spans="1:15">
      <c r="A4" s="7" t="s">
        <v>57</v>
      </c>
      <c r="B4" s="7" t="s">
        <v>125</v>
      </c>
      <c r="C4" s="7" t="s">
        <v>126</v>
      </c>
      <c r="D4" s="7" t="s">
        <v>58</v>
      </c>
      <c r="E4" s="7" t="s">
        <v>52</v>
      </c>
      <c r="F4" s="7">
        <v>12530430</v>
      </c>
      <c r="G4" s="7">
        <v>1694338</v>
      </c>
      <c r="H4" s="7">
        <v>0</v>
      </c>
      <c r="I4" s="7">
        <v>0</v>
      </c>
      <c r="J4" s="7">
        <v>400000</v>
      </c>
      <c r="K4" s="7">
        <v>2789793</v>
      </c>
      <c r="L4" s="7">
        <v>1100000</v>
      </c>
      <c r="M4" s="7">
        <v>18514561</v>
      </c>
      <c r="N4" s="7">
        <v>1185397.3333333333</v>
      </c>
      <c r="O4" s="7">
        <v>2324827.5</v>
      </c>
    </row>
    <row r="5" spans="1:15">
      <c r="A5" s="7" t="s">
        <v>59</v>
      </c>
      <c r="B5" s="7" t="s">
        <v>127</v>
      </c>
      <c r="C5" s="7" t="s">
        <v>128</v>
      </c>
      <c r="D5" s="7" t="s">
        <v>60</v>
      </c>
      <c r="E5" s="7" t="s">
        <v>52</v>
      </c>
      <c r="F5" s="7">
        <v>12530430</v>
      </c>
      <c r="G5" s="7">
        <v>1694338</v>
      </c>
      <c r="H5" s="7">
        <v>0</v>
      </c>
      <c r="I5" s="7">
        <v>0</v>
      </c>
      <c r="J5" s="7">
        <v>400000</v>
      </c>
      <c r="K5" s="7">
        <v>929931</v>
      </c>
      <c r="L5" s="7">
        <v>1100000</v>
      </c>
      <c r="M5" s="7">
        <v>16654699</v>
      </c>
      <c r="N5" s="7">
        <v>1185397.3333333333</v>
      </c>
      <c r="O5" s="7">
        <v>2324827.5</v>
      </c>
    </row>
    <row r="6" spans="1:15">
      <c r="A6" s="7" t="s">
        <v>61</v>
      </c>
      <c r="B6" s="7" t="s">
        <v>129</v>
      </c>
      <c r="C6" s="7" t="s">
        <v>128</v>
      </c>
      <c r="D6" s="7" t="s">
        <v>62</v>
      </c>
      <c r="E6" s="7" t="s">
        <v>52</v>
      </c>
      <c r="F6" s="7">
        <v>15388770</v>
      </c>
      <c r="G6" s="7">
        <v>1810623</v>
      </c>
      <c r="H6" s="7">
        <v>0</v>
      </c>
      <c r="I6" s="7">
        <v>0</v>
      </c>
      <c r="J6" s="7">
        <v>400000</v>
      </c>
      <c r="K6" s="7">
        <v>1859862</v>
      </c>
      <c r="L6" s="7">
        <v>1100000</v>
      </c>
      <c r="M6" s="7">
        <v>20559255</v>
      </c>
      <c r="N6" s="7">
        <v>1433282.75</v>
      </c>
      <c r="O6" s="7">
        <v>2324827.5</v>
      </c>
    </row>
    <row r="7" spans="1:15">
      <c r="A7" s="7" t="s">
        <v>63</v>
      </c>
      <c r="B7" s="7" t="s">
        <v>130</v>
      </c>
      <c r="C7" s="7" t="s">
        <v>131</v>
      </c>
      <c r="D7" s="7" t="s">
        <v>64</v>
      </c>
      <c r="E7" s="7" t="s">
        <v>52</v>
      </c>
      <c r="F7" s="7">
        <v>16383030</v>
      </c>
      <c r="G7" s="7">
        <v>1822623</v>
      </c>
      <c r="H7" s="7">
        <v>0</v>
      </c>
      <c r="I7" s="7">
        <v>0</v>
      </c>
      <c r="J7" s="7">
        <v>400000</v>
      </c>
      <c r="K7" s="7">
        <v>929931</v>
      </c>
      <c r="L7" s="7">
        <v>1100000</v>
      </c>
      <c r="M7" s="7">
        <v>20635584</v>
      </c>
      <c r="N7" s="7">
        <v>1517137.75</v>
      </c>
      <c r="O7" s="7">
        <v>2324827.5</v>
      </c>
    </row>
    <row r="8" spans="1:15">
      <c r="A8" s="7" t="s">
        <v>66</v>
      </c>
      <c r="B8" s="7" t="s">
        <v>132</v>
      </c>
      <c r="C8" s="7" t="s">
        <v>133</v>
      </c>
      <c r="D8" s="7" t="s">
        <v>67</v>
      </c>
      <c r="E8" s="7" t="s">
        <v>52</v>
      </c>
      <c r="F8" s="7">
        <v>17377200</v>
      </c>
      <c r="G8" s="7">
        <v>1791481</v>
      </c>
      <c r="H8" s="7">
        <v>0</v>
      </c>
      <c r="I8" s="7">
        <v>95071</v>
      </c>
      <c r="J8" s="7">
        <v>400000</v>
      </c>
      <c r="K8" s="7">
        <v>0</v>
      </c>
      <c r="L8" s="7">
        <v>1100000</v>
      </c>
      <c r="M8" s="7">
        <v>20763752</v>
      </c>
      <c r="N8" s="7">
        <v>1605312.6666666667</v>
      </c>
      <c r="O8" s="7">
        <v>2324827.5</v>
      </c>
    </row>
    <row r="9" spans="1:15">
      <c r="A9" s="7" t="s">
        <v>68</v>
      </c>
      <c r="B9" s="7" t="s">
        <v>134</v>
      </c>
      <c r="C9" s="7" t="s">
        <v>135</v>
      </c>
      <c r="D9" s="7" t="s">
        <v>69</v>
      </c>
      <c r="E9" s="7" t="s">
        <v>52</v>
      </c>
      <c r="F9" s="7">
        <v>13151880</v>
      </c>
      <c r="G9" s="7">
        <v>1729100</v>
      </c>
      <c r="H9" s="7">
        <v>0</v>
      </c>
      <c r="I9" s="7">
        <v>0</v>
      </c>
      <c r="J9" s="7">
        <v>400000</v>
      </c>
      <c r="K9" s="7">
        <v>3719724</v>
      </c>
      <c r="L9" s="7">
        <v>1100000</v>
      </c>
      <c r="M9" s="7">
        <v>20100704</v>
      </c>
      <c r="N9" s="7">
        <v>1240081.6666666667</v>
      </c>
      <c r="O9" s="7">
        <v>2324827.5</v>
      </c>
    </row>
    <row r="10" spans="1:15">
      <c r="A10" s="7" t="s">
        <v>70</v>
      </c>
      <c r="B10" s="7" t="s">
        <v>136</v>
      </c>
      <c r="C10" s="7" t="s">
        <v>137</v>
      </c>
      <c r="D10" s="7" t="s">
        <v>71</v>
      </c>
      <c r="E10" s="7" t="s">
        <v>52</v>
      </c>
      <c r="F10" s="7">
        <v>10914840</v>
      </c>
      <c r="G10" s="7">
        <v>1627196</v>
      </c>
      <c r="H10" s="7">
        <v>0</v>
      </c>
      <c r="I10" s="7">
        <v>0</v>
      </c>
      <c r="J10" s="7">
        <v>400000</v>
      </c>
      <c r="K10" s="7">
        <v>929931</v>
      </c>
      <c r="L10" s="7">
        <v>1100000</v>
      </c>
      <c r="M10" s="7">
        <v>14971967</v>
      </c>
      <c r="N10" s="7">
        <v>1045169.6666666666</v>
      </c>
      <c r="O10" s="7">
        <v>2324827.5</v>
      </c>
    </row>
    <row r="11" spans="1:15">
      <c r="A11" s="7" t="s">
        <v>72</v>
      </c>
      <c r="B11" s="7" t="s">
        <v>88</v>
      </c>
      <c r="C11" s="7" t="s">
        <v>138</v>
      </c>
      <c r="D11" s="7" t="s">
        <v>73</v>
      </c>
      <c r="E11" s="7" t="s">
        <v>52</v>
      </c>
      <c r="F11" s="7">
        <v>11909070</v>
      </c>
      <c r="G11" s="7">
        <v>1667958</v>
      </c>
      <c r="H11" s="7">
        <v>0</v>
      </c>
      <c r="I11" s="7">
        <v>0</v>
      </c>
      <c r="J11" s="7">
        <v>400000</v>
      </c>
      <c r="K11" s="7">
        <v>0</v>
      </c>
      <c r="L11" s="7">
        <v>1100000</v>
      </c>
      <c r="M11" s="7">
        <v>15077028</v>
      </c>
      <c r="N11" s="7">
        <v>1131419</v>
      </c>
      <c r="O11" s="7">
        <v>2324827.5</v>
      </c>
    </row>
    <row r="12" spans="1:15">
      <c r="A12" s="7" t="s">
        <v>74</v>
      </c>
      <c r="B12" s="7" t="s">
        <v>139</v>
      </c>
      <c r="C12" s="7" t="s">
        <v>138</v>
      </c>
      <c r="D12" s="7" t="s">
        <v>75</v>
      </c>
      <c r="E12" s="7" t="s">
        <v>52</v>
      </c>
      <c r="F12" s="7">
        <v>11909070</v>
      </c>
      <c r="G12" s="7">
        <v>1688338</v>
      </c>
      <c r="H12" s="7">
        <v>0</v>
      </c>
      <c r="I12" s="7">
        <v>0</v>
      </c>
      <c r="J12" s="7">
        <v>400000</v>
      </c>
      <c r="K12" s="7">
        <v>1859862</v>
      </c>
      <c r="L12" s="7">
        <v>1100000</v>
      </c>
      <c r="M12" s="7">
        <v>16957270</v>
      </c>
      <c r="N12" s="7">
        <v>1133117.3333333333</v>
      </c>
      <c r="O12" s="7">
        <v>2324827.5</v>
      </c>
    </row>
    <row r="13" spans="1:15">
      <c r="A13" s="7" t="s">
        <v>76</v>
      </c>
      <c r="B13" s="7" t="s">
        <v>81</v>
      </c>
      <c r="C13" s="7" t="s">
        <v>140</v>
      </c>
      <c r="D13" s="7" t="s">
        <v>77</v>
      </c>
      <c r="E13" s="7" t="s">
        <v>52</v>
      </c>
      <c r="F13" s="7">
        <v>13897500</v>
      </c>
      <c r="G13" s="7">
        <v>1735100</v>
      </c>
      <c r="H13" s="7">
        <v>0</v>
      </c>
      <c r="I13" s="7">
        <v>0</v>
      </c>
      <c r="J13" s="7">
        <v>400000</v>
      </c>
      <c r="K13" s="7">
        <v>3719724</v>
      </c>
      <c r="L13" s="7">
        <v>1100000</v>
      </c>
      <c r="M13" s="7">
        <v>20852324</v>
      </c>
      <c r="N13" s="7">
        <v>1302716.6666666667</v>
      </c>
      <c r="O13" s="7">
        <v>2324827.5</v>
      </c>
    </row>
    <row r="14" spans="1:15">
      <c r="A14" s="7" t="s">
        <v>79</v>
      </c>
      <c r="B14" s="7" t="s">
        <v>141</v>
      </c>
      <c r="C14" s="7" t="s">
        <v>142</v>
      </c>
      <c r="D14" s="7" t="s">
        <v>80</v>
      </c>
      <c r="E14" s="7" t="s">
        <v>52</v>
      </c>
      <c r="F14" s="7">
        <v>13151880</v>
      </c>
      <c r="G14" s="7">
        <v>1729100</v>
      </c>
      <c r="H14" s="7">
        <v>0</v>
      </c>
      <c r="I14" s="7">
        <v>0</v>
      </c>
      <c r="J14" s="7">
        <v>400000</v>
      </c>
      <c r="K14" s="7">
        <v>0</v>
      </c>
      <c r="L14" s="7">
        <v>1100000</v>
      </c>
      <c r="M14" s="7">
        <v>16380980</v>
      </c>
      <c r="N14" s="7">
        <v>1240081.6666666667</v>
      </c>
      <c r="O14" s="7">
        <v>2324827.5</v>
      </c>
    </row>
    <row r="15" spans="1:15">
      <c r="A15" s="7" t="s">
        <v>82</v>
      </c>
      <c r="B15" s="7" t="s">
        <v>143</v>
      </c>
      <c r="C15" s="7" t="s">
        <v>144</v>
      </c>
      <c r="D15" s="7" t="s">
        <v>83</v>
      </c>
      <c r="E15" s="7" t="s">
        <v>52</v>
      </c>
      <c r="F15" s="7">
        <v>10914840</v>
      </c>
      <c r="G15" s="7">
        <v>1627196</v>
      </c>
      <c r="H15" s="7">
        <v>0</v>
      </c>
      <c r="I15" s="7">
        <v>0</v>
      </c>
      <c r="J15" s="7">
        <v>400000</v>
      </c>
      <c r="K15" s="7">
        <v>1859862</v>
      </c>
      <c r="L15" s="7">
        <v>1100000</v>
      </c>
      <c r="M15" s="7">
        <v>15901898</v>
      </c>
      <c r="N15" s="7">
        <v>1045169.6666666666</v>
      </c>
      <c r="O15" s="7">
        <v>2324827.5</v>
      </c>
    </row>
    <row r="16" spans="1:15">
      <c r="A16" s="7" t="s">
        <v>84</v>
      </c>
      <c r="B16" s="7" t="s">
        <v>145</v>
      </c>
      <c r="C16" s="7" t="s">
        <v>144</v>
      </c>
      <c r="D16" s="7" t="s">
        <v>85</v>
      </c>
      <c r="E16" s="7" t="s">
        <v>52</v>
      </c>
      <c r="F16" s="7">
        <v>10417770</v>
      </c>
      <c r="G16" s="7">
        <v>1627196</v>
      </c>
      <c r="H16" s="7">
        <v>0</v>
      </c>
      <c r="I16" s="7">
        <v>0</v>
      </c>
      <c r="J16" s="7">
        <v>400000</v>
      </c>
      <c r="K16" s="7">
        <v>1859862</v>
      </c>
      <c r="L16" s="7">
        <v>1100000</v>
      </c>
      <c r="M16" s="7">
        <v>15404828</v>
      </c>
      <c r="N16" s="7">
        <v>1003747.1666666666</v>
      </c>
      <c r="O16" s="7">
        <v>2324827.5</v>
      </c>
    </row>
    <row r="17" spans="1:15">
      <c r="A17" s="7" t="s">
        <v>86</v>
      </c>
      <c r="B17" s="7" t="s">
        <v>146</v>
      </c>
      <c r="C17" s="7" t="s">
        <v>147</v>
      </c>
      <c r="D17" s="7" t="s">
        <v>87</v>
      </c>
      <c r="E17" s="7" t="s">
        <v>52</v>
      </c>
      <c r="F17" s="7">
        <v>11909070</v>
      </c>
      <c r="G17" s="7">
        <v>1688338</v>
      </c>
      <c r="H17" s="7">
        <v>0</v>
      </c>
      <c r="I17" s="7">
        <v>0</v>
      </c>
      <c r="J17" s="7">
        <v>400000</v>
      </c>
      <c r="K17" s="7">
        <v>2789793</v>
      </c>
      <c r="L17" s="7">
        <v>1100000</v>
      </c>
      <c r="M17" s="7">
        <v>17887201</v>
      </c>
      <c r="N17" s="7">
        <v>1133117.3333333333</v>
      </c>
      <c r="O17" s="7">
        <v>2324827.5</v>
      </c>
    </row>
    <row r="18" spans="1:15">
      <c r="A18" s="7" t="s">
        <v>89</v>
      </c>
      <c r="B18" s="7" t="s">
        <v>78</v>
      </c>
      <c r="C18" s="7" t="s">
        <v>148</v>
      </c>
      <c r="D18" s="7" t="s">
        <v>90</v>
      </c>
      <c r="E18" s="7" t="s">
        <v>52</v>
      </c>
      <c r="F18" s="7">
        <v>12530430</v>
      </c>
      <c r="G18" s="7">
        <v>1708719</v>
      </c>
      <c r="H18" s="7">
        <v>0</v>
      </c>
      <c r="I18" s="7">
        <v>0</v>
      </c>
      <c r="J18" s="7">
        <v>400000</v>
      </c>
      <c r="K18" s="7">
        <v>3719724</v>
      </c>
      <c r="L18" s="7">
        <v>1100000</v>
      </c>
      <c r="M18" s="7">
        <v>19458873</v>
      </c>
      <c r="N18" s="7">
        <v>1186595.75</v>
      </c>
      <c r="O18" s="7">
        <v>2324827.5</v>
      </c>
    </row>
    <row r="19" spans="1:15">
      <c r="A19" s="7" t="s">
        <v>91</v>
      </c>
      <c r="B19" s="7" t="s">
        <v>120</v>
      </c>
      <c r="C19" s="7" t="s">
        <v>149</v>
      </c>
      <c r="D19" s="7" t="s">
        <v>92</v>
      </c>
      <c r="E19" s="7" t="s">
        <v>52</v>
      </c>
      <c r="F19" s="7">
        <v>11909070</v>
      </c>
      <c r="G19" s="7">
        <v>1688338</v>
      </c>
      <c r="H19" s="7">
        <v>0</v>
      </c>
      <c r="I19" s="7">
        <v>0</v>
      </c>
      <c r="J19" s="7">
        <v>400000</v>
      </c>
      <c r="K19" s="7">
        <v>1859862</v>
      </c>
      <c r="L19" s="7">
        <v>1100000</v>
      </c>
      <c r="M19" s="7">
        <v>16957270</v>
      </c>
      <c r="N19" s="7">
        <v>1133117.3333333333</v>
      </c>
      <c r="O19" s="7">
        <v>2324827.5</v>
      </c>
    </row>
    <row r="20" spans="1:15">
      <c r="A20" s="7" t="s">
        <v>93</v>
      </c>
      <c r="B20" s="7" t="s">
        <v>150</v>
      </c>
      <c r="C20" s="7" t="s">
        <v>151</v>
      </c>
      <c r="D20" s="7" t="s">
        <v>94</v>
      </c>
      <c r="E20" s="7" t="s">
        <v>52</v>
      </c>
      <c r="F20" s="7">
        <v>12530430</v>
      </c>
      <c r="G20" s="7">
        <v>1708719</v>
      </c>
      <c r="H20" s="7">
        <v>0</v>
      </c>
      <c r="I20" s="7">
        <v>0</v>
      </c>
      <c r="J20" s="7">
        <v>400000</v>
      </c>
      <c r="K20" s="7">
        <v>1859862</v>
      </c>
      <c r="L20" s="7">
        <v>1100000</v>
      </c>
      <c r="M20" s="7">
        <v>17599011</v>
      </c>
      <c r="N20" s="7">
        <v>1186595.75</v>
      </c>
      <c r="O20" s="7">
        <v>2324827.5</v>
      </c>
    </row>
    <row r="21" spans="1:15">
      <c r="A21" s="7" t="s">
        <v>95</v>
      </c>
      <c r="B21" s="7" t="s">
        <v>152</v>
      </c>
      <c r="C21" s="7" t="s">
        <v>153</v>
      </c>
      <c r="D21" s="7" t="s">
        <v>96</v>
      </c>
      <c r="E21" s="7" t="s">
        <v>52</v>
      </c>
      <c r="F21" s="7">
        <v>11411970</v>
      </c>
      <c r="G21" s="7">
        <v>1675618</v>
      </c>
      <c r="H21" s="7">
        <v>0</v>
      </c>
      <c r="I21" s="7">
        <v>0</v>
      </c>
      <c r="J21" s="7">
        <v>400000</v>
      </c>
      <c r="K21" s="7">
        <v>1859862</v>
      </c>
      <c r="L21" s="7">
        <v>1100000</v>
      </c>
      <c r="M21" s="7">
        <v>16447450</v>
      </c>
      <c r="N21" s="7">
        <v>1090632.3333333333</v>
      </c>
      <c r="O21" s="7">
        <v>2324827.5</v>
      </c>
    </row>
    <row r="22" spans="1:15">
      <c r="A22" s="7" t="s">
        <v>97</v>
      </c>
      <c r="B22" s="7" t="s">
        <v>141</v>
      </c>
      <c r="C22" s="7" t="s">
        <v>142</v>
      </c>
      <c r="D22" s="7" t="s">
        <v>98</v>
      </c>
      <c r="E22" s="7" t="s">
        <v>52</v>
      </c>
      <c r="F22" s="7">
        <v>11909070</v>
      </c>
      <c r="G22" s="7">
        <v>1680678</v>
      </c>
      <c r="H22" s="7">
        <v>0</v>
      </c>
      <c r="I22" s="7">
        <v>0</v>
      </c>
      <c r="J22" s="7">
        <v>400000</v>
      </c>
      <c r="K22" s="7">
        <v>929931</v>
      </c>
      <c r="L22" s="7">
        <v>1100000</v>
      </c>
      <c r="M22" s="7">
        <v>16019679</v>
      </c>
      <c r="N22" s="7">
        <v>1132479</v>
      </c>
      <c r="O22" s="7">
        <v>2324827.5</v>
      </c>
    </row>
    <row r="23" spans="1:15">
      <c r="A23" s="7" t="s">
        <v>99</v>
      </c>
      <c r="B23" s="7" t="s">
        <v>65</v>
      </c>
      <c r="C23" s="7" t="s">
        <v>154</v>
      </c>
      <c r="D23" s="7" t="s">
        <v>100</v>
      </c>
      <c r="E23" s="7" t="s">
        <v>52</v>
      </c>
      <c r="F23" s="7">
        <v>11909070</v>
      </c>
      <c r="G23" s="7">
        <v>1667958</v>
      </c>
      <c r="H23" s="7">
        <v>497100</v>
      </c>
      <c r="I23" s="7">
        <v>0</v>
      </c>
      <c r="J23" s="7">
        <v>400000</v>
      </c>
      <c r="K23" s="7">
        <v>2789793</v>
      </c>
      <c r="L23" s="7">
        <v>1100000</v>
      </c>
      <c r="M23" s="7">
        <v>18363921</v>
      </c>
      <c r="N23" s="7">
        <v>1172844</v>
      </c>
      <c r="O23" s="7">
        <v>2324827.5</v>
      </c>
    </row>
    <row r="24" spans="1:15">
      <c r="A24" s="7" t="s">
        <v>101</v>
      </c>
      <c r="B24" s="7" t="s">
        <v>155</v>
      </c>
      <c r="C24" s="7" t="s">
        <v>156</v>
      </c>
      <c r="D24" s="7" t="s">
        <v>102</v>
      </c>
      <c r="E24" s="7" t="s">
        <v>52</v>
      </c>
      <c r="F24" s="7">
        <v>11909070</v>
      </c>
      <c r="G24" s="7">
        <v>1675618</v>
      </c>
      <c r="H24" s="7">
        <v>0</v>
      </c>
      <c r="I24" s="7">
        <v>0</v>
      </c>
      <c r="J24" s="7">
        <v>400000</v>
      </c>
      <c r="K24" s="7">
        <v>1859862</v>
      </c>
      <c r="L24" s="7">
        <v>1100000</v>
      </c>
      <c r="M24" s="7">
        <v>16944550</v>
      </c>
      <c r="N24" s="7">
        <v>1132057.3333333333</v>
      </c>
      <c r="O24" s="7">
        <v>2324827.5</v>
      </c>
    </row>
    <row r="25" spans="1:15">
      <c r="A25" s="7" t="s">
        <v>103</v>
      </c>
      <c r="B25" s="7" t="s">
        <v>88</v>
      </c>
      <c r="C25" s="7" t="s">
        <v>157</v>
      </c>
      <c r="D25" s="7" t="s">
        <v>104</v>
      </c>
      <c r="E25" s="7" t="s">
        <v>52</v>
      </c>
      <c r="F25" s="7">
        <v>13897500</v>
      </c>
      <c r="G25" s="7">
        <v>1749481</v>
      </c>
      <c r="H25" s="7">
        <v>0</v>
      </c>
      <c r="I25" s="7">
        <v>0</v>
      </c>
      <c r="J25" s="7">
        <v>400000</v>
      </c>
      <c r="K25" s="7">
        <v>1859862</v>
      </c>
      <c r="L25" s="7">
        <v>1100000</v>
      </c>
      <c r="M25" s="7">
        <v>19006843</v>
      </c>
      <c r="N25" s="7">
        <v>1303915.0833333333</v>
      </c>
      <c r="O25" s="7">
        <v>2324827.5</v>
      </c>
    </row>
    <row r="26" spans="1:15">
      <c r="A26" s="7" t="s">
        <v>105</v>
      </c>
      <c r="B26" s="7" t="s">
        <v>158</v>
      </c>
      <c r="C26" s="7" t="s">
        <v>159</v>
      </c>
      <c r="D26" s="7" t="s">
        <v>106</v>
      </c>
      <c r="E26" s="7" t="s">
        <v>52</v>
      </c>
      <c r="F26" s="7">
        <v>13897500</v>
      </c>
      <c r="G26" s="7">
        <v>1749481</v>
      </c>
      <c r="H26" s="7">
        <v>0</v>
      </c>
      <c r="I26" s="7">
        <v>0</v>
      </c>
      <c r="J26" s="7">
        <v>400000</v>
      </c>
      <c r="K26" s="7">
        <v>1859862</v>
      </c>
      <c r="L26" s="7">
        <v>1100000</v>
      </c>
      <c r="M26" s="7">
        <v>19006843</v>
      </c>
      <c r="N26" s="7">
        <v>1303915.0833333333</v>
      </c>
      <c r="O26" s="7">
        <v>2324827.5</v>
      </c>
    </row>
    <row r="27" spans="1:15">
      <c r="A27" s="7" t="s">
        <v>107</v>
      </c>
      <c r="B27" s="7" t="s">
        <v>158</v>
      </c>
      <c r="C27" s="7" t="s">
        <v>160</v>
      </c>
      <c r="D27" s="7" t="s">
        <v>108</v>
      </c>
      <c r="E27" s="7" t="s">
        <v>52</v>
      </c>
      <c r="F27" s="7">
        <v>11411970</v>
      </c>
      <c r="G27" s="7">
        <v>1667958</v>
      </c>
      <c r="H27" s="7">
        <v>0</v>
      </c>
      <c r="I27" s="7">
        <v>0</v>
      </c>
      <c r="J27" s="7">
        <v>400000</v>
      </c>
      <c r="K27" s="7">
        <v>929931</v>
      </c>
      <c r="L27" s="7">
        <v>1100000</v>
      </c>
      <c r="M27" s="7">
        <v>15509859</v>
      </c>
      <c r="N27" s="7">
        <v>1089994</v>
      </c>
      <c r="O27" s="7">
        <v>2324827.5</v>
      </c>
    </row>
    <row r="28" spans="1:15">
      <c r="A28" s="4"/>
      <c r="B28" s="4"/>
      <c r="C28" s="4"/>
      <c r="D28" s="4"/>
      <c r="E28" s="4"/>
      <c r="F28" s="5">
        <f>SUM(F2:F27)</f>
        <v>331011330</v>
      </c>
      <c r="G28" s="5">
        <f t="shared" ref="G28:N28" si="0">SUM(G2:G27)</f>
        <v>44302551</v>
      </c>
      <c r="H28" s="5">
        <f t="shared" si="0"/>
        <v>497100</v>
      </c>
      <c r="I28" s="5">
        <f t="shared" si="0"/>
        <v>95071</v>
      </c>
      <c r="J28" s="5">
        <f t="shared" si="0"/>
        <v>10400000</v>
      </c>
      <c r="K28" s="5">
        <f t="shared" si="0"/>
        <v>42776826</v>
      </c>
      <c r="L28" s="5">
        <f t="shared" si="0"/>
        <v>28600000</v>
      </c>
      <c r="M28" s="5">
        <f t="shared" si="0"/>
        <v>457682878</v>
      </c>
      <c r="N28" s="5">
        <f t="shared" si="0"/>
        <v>31325504.333333325</v>
      </c>
      <c r="O28" s="5">
        <f>SUM(O2:O27)</f>
        <v>60445515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جدول </vt:lpstr>
      <vt:lpstr>تير 96 دارخوين </vt:lpstr>
      <vt:lpstr>عیدی سنوات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2017-08-28T04:34:45Z</cp:lastPrinted>
  <dcterms:created xsi:type="dcterms:W3CDTF">2017-08-21T07:50:50Z</dcterms:created>
  <dcterms:modified xsi:type="dcterms:W3CDTF">2017-08-28T07:41:29Z</dcterms:modified>
</cp:coreProperties>
</file>